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__web\___0212\"/>
    </mc:Choice>
  </mc:AlternateContent>
  <xr:revisionPtr revIDLastSave="0" documentId="13_ncr:1_{BE71C4A4-930C-4706-B707-DD95D81EB0EB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navrh" sheetId="1" r:id="rId1"/>
    <sheet name="cenik" sheetId="4" r:id="rId2"/>
  </sheets>
  <definedNames>
    <definedName name="_xlnm.Print_Area" localSheetId="0">navrh!$A$1:$H$46</definedName>
  </definedNames>
  <calcPr calcId="191029"/>
</workbook>
</file>

<file path=xl/calcChain.xml><?xml version="1.0" encoding="utf-8"?>
<calcChain xmlns="http://schemas.openxmlformats.org/spreadsheetml/2006/main">
  <c r="U2" i="1" l="1"/>
  <c r="AA57" i="4"/>
  <c r="X57" i="4"/>
  <c r="U57" i="4"/>
  <c r="R57" i="4"/>
  <c r="O57" i="4"/>
  <c r="L57" i="4"/>
  <c r="I57" i="4"/>
  <c r="F57" i="4"/>
  <c r="C57" i="4"/>
  <c r="F6" i="1"/>
  <c r="D78" i="4"/>
  <c r="E78" i="4"/>
  <c r="F78" i="4"/>
  <c r="G78" i="4"/>
  <c r="H78" i="4" s="1"/>
  <c r="I78" i="4" s="1"/>
  <c r="J78" i="4" s="1"/>
  <c r="K78" i="4" s="1"/>
  <c r="L78" i="4" s="1"/>
  <c r="M78" i="4" s="1"/>
  <c r="N78" i="4" s="1"/>
  <c r="O78" i="4" s="1"/>
  <c r="P78" i="4" s="1"/>
  <c r="Q78" i="4" s="1"/>
  <c r="R78" i="4" s="1"/>
  <c r="S78" i="4" s="1"/>
  <c r="T78" i="4" s="1"/>
  <c r="U78" i="4" s="1"/>
  <c r="V78" i="4" s="1"/>
  <c r="W78" i="4" s="1"/>
  <c r="X78" i="4" s="1"/>
  <c r="Y78" i="4" s="1"/>
  <c r="Z78" i="4" s="1"/>
  <c r="AA78" i="4" s="1"/>
  <c r="AB78" i="4" s="1"/>
  <c r="C78" i="4"/>
  <c r="H53" i="4" l="1"/>
  <c r="S53" i="4"/>
  <c r="R53" i="4"/>
  <c r="Q53" i="4"/>
  <c r="P53" i="4"/>
  <c r="O53" i="4"/>
  <c r="N53" i="4"/>
  <c r="M53" i="4"/>
  <c r="L53" i="4"/>
  <c r="K53" i="4"/>
  <c r="J53" i="4"/>
  <c r="I53" i="4"/>
  <c r="V20" i="4"/>
  <c r="U20" i="4"/>
  <c r="T20" i="4"/>
  <c r="S20" i="4"/>
  <c r="R20" i="4"/>
  <c r="Q20" i="4"/>
  <c r="P20" i="4"/>
  <c r="O20" i="4"/>
  <c r="N20" i="4"/>
  <c r="M20" i="4"/>
  <c r="L20" i="4"/>
  <c r="W3" i="1" l="1"/>
  <c r="V15" i="1" s="1"/>
  <c r="U16" i="1"/>
  <c r="I100" i="4" s="1"/>
  <c r="T16" i="1"/>
  <c r="U18" i="1"/>
  <c r="B80" i="4"/>
  <c r="B79" i="4"/>
  <c r="B78" i="4"/>
  <c r="B77" i="4"/>
  <c r="B76" i="4"/>
  <c r="G98" i="4"/>
  <c r="V26" i="1" l="1"/>
  <c r="H100" i="4"/>
  <c r="I98" i="4" s="1"/>
  <c r="B54" i="4" l="1"/>
  <c r="T53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W52" i="4"/>
  <c r="X52" i="4"/>
  <c r="Y52" i="4"/>
  <c r="Z52" i="4"/>
  <c r="AA52" i="4"/>
  <c r="AB52" i="4"/>
  <c r="B52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C19" i="4"/>
  <c r="C79" i="4"/>
  <c r="D79" i="4" s="1"/>
  <c r="E79" i="4" s="1"/>
  <c r="F79" i="4" s="1"/>
  <c r="G79" i="4" s="1"/>
  <c r="H79" i="4" s="1"/>
  <c r="I79" i="4" s="1"/>
  <c r="J79" i="4" s="1"/>
  <c r="K79" i="4" s="1"/>
  <c r="L79" i="4" s="1"/>
  <c r="M79" i="4" s="1"/>
  <c r="A79" i="4"/>
  <c r="A78" i="4"/>
  <c r="C77" i="4"/>
  <c r="D77" i="4" s="1"/>
  <c r="E77" i="4" s="1"/>
  <c r="F77" i="4" s="1"/>
  <c r="G77" i="4" s="1"/>
  <c r="H77" i="4" s="1"/>
  <c r="I77" i="4" s="1"/>
  <c r="J77" i="4" s="1"/>
  <c r="K77" i="4" s="1"/>
  <c r="L77" i="4" s="1"/>
  <c r="M77" i="4" s="1"/>
  <c r="N77" i="4" s="1"/>
  <c r="O77" i="4" s="1"/>
  <c r="P77" i="4" s="1"/>
  <c r="Q77" i="4" s="1"/>
  <c r="R77" i="4" s="1"/>
  <c r="S77" i="4" s="1"/>
  <c r="T77" i="4" s="1"/>
  <c r="U77" i="4" s="1"/>
  <c r="V77" i="4" s="1"/>
  <c r="W77" i="4" s="1"/>
  <c r="X77" i="4" s="1"/>
  <c r="Y77" i="4" s="1"/>
  <c r="Z77" i="4" s="1"/>
  <c r="AA77" i="4" s="1"/>
  <c r="AB77" i="4" s="1"/>
  <c r="C76" i="4"/>
  <c r="C54" i="4"/>
  <c r="D54" i="4" s="1"/>
  <c r="E54" i="4" s="1"/>
  <c r="F54" i="4" s="1"/>
  <c r="G54" i="4" s="1"/>
  <c r="H54" i="4" s="1"/>
  <c r="I54" i="4" s="1"/>
  <c r="J54" i="4" s="1"/>
  <c r="K54" i="4" s="1"/>
  <c r="L54" i="4" s="1"/>
  <c r="M54" i="4" s="1"/>
  <c r="A53" i="4"/>
  <c r="A52" i="4"/>
  <c r="B46" i="4"/>
  <c r="C45" i="4"/>
  <c r="D45" i="4" s="1"/>
  <c r="E45" i="4" s="1"/>
  <c r="F45" i="4" s="1"/>
  <c r="G45" i="4" s="1"/>
  <c r="H45" i="4" s="1"/>
  <c r="I45" i="4" s="1"/>
  <c r="J45" i="4" s="1"/>
  <c r="K45" i="4" s="1"/>
  <c r="L45" i="4" s="1"/>
  <c r="M45" i="4" s="1"/>
  <c r="N45" i="4" s="1"/>
  <c r="O45" i="4" s="1"/>
  <c r="P45" i="4" s="1"/>
  <c r="Q45" i="4" s="1"/>
  <c r="R45" i="4" s="1"/>
  <c r="S45" i="4" s="1"/>
  <c r="T45" i="4" s="1"/>
  <c r="U45" i="4" s="1"/>
  <c r="V45" i="4" s="1"/>
  <c r="W45" i="4" s="1"/>
  <c r="X45" i="4" s="1"/>
  <c r="Y45" i="4" s="1"/>
  <c r="Z45" i="4" s="1"/>
  <c r="AA45" i="4" s="1"/>
  <c r="AB45" i="4" s="1"/>
  <c r="AC45" i="4" s="1"/>
  <c r="AD45" i="4" s="1"/>
  <c r="AE45" i="4" s="1"/>
  <c r="AF45" i="4" s="1"/>
  <c r="AG45" i="4" s="1"/>
  <c r="AH45" i="4" s="1"/>
  <c r="AI45" i="4" s="1"/>
  <c r="C44" i="4"/>
  <c r="D44" i="4" s="1"/>
  <c r="E44" i="4" s="1"/>
  <c r="F44" i="4" s="1"/>
  <c r="G44" i="4" s="1"/>
  <c r="H44" i="4" s="1"/>
  <c r="I44" i="4" s="1"/>
  <c r="J44" i="4" s="1"/>
  <c r="K44" i="4" s="1"/>
  <c r="L44" i="4" s="1"/>
  <c r="M44" i="4" s="1"/>
  <c r="N44" i="4" s="1"/>
  <c r="O44" i="4" s="1"/>
  <c r="P44" i="4" s="1"/>
  <c r="Q44" i="4" s="1"/>
  <c r="R44" i="4" s="1"/>
  <c r="S44" i="4" s="1"/>
  <c r="T44" i="4" s="1"/>
  <c r="U44" i="4" s="1"/>
  <c r="V44" i="4" s="1"/>
  <c r="W44" i="4" s="1"/>
  <c r="X44" i="4" s="1"/>
  <c r="Y44" i="4" s="1"/>
  <c r="Z44" i="4" s="1"/>
  <c r="AA44" i="4" s="1"/>
  <c r="AB44" i="4" s="1"/>
  <c r="AC44" i="4" s="1"/>
  <c r="AD44" i="4" s="1"/>
  <c r="AE44" i="4" s="1"/>
  <c r="AF44" i="4" s="1"/>
  <c r="AG44" i="4" s="1"/>
  <c r="AH44" i="4" s="1"/>
  <c r="AI44" i="4" s="1"/>
  <c r="C43" i="4"/>
  <c r="D43" i="4" s="1"/>
  <c r="E43" i="4" s="1"/>
  <c r="F43" i="4" s="1"/>
  <c r="G43" i="4" s="1"/>
  <c r="H43" i="4" s="1"/>
  <c r="I43" i="4" s="1"/>
  <c r="J43" i="4" s="1"/>
  <c r="K43" i="4" s="1"/>
  <c r="L43" i="4" s="1"/>
  <c r="M43" i="4" s="1"/>
  <c r="N43" i="4" s="1"/>
  <c r="O43" i="4" s="1"/>
  <c r="P43" i="4" s="1"/>
  <c r="Q43" i="4" s="1"/>
  <c r="R43" i="4" s="1"/>
  <c r="S43" i="4" s="1"/>
  <c r="T43" i="4" s="1"/>
  <c r="U43" i="4" s="1"/>
  <c r="V43" i="4" s="1"/>
  <c r="W43" i="4" s="1"/>
  <c r="X43" i="4" s="1"/>
  <c r="Y43" i="4" s="1"/>
  <c r="Z43" i="4" s="1"/>
  <c r="AA43" i="4" s="1"/>
  <c r="AB43" i="4" s="1"/>
  <c r="AC43" i="4" s="1"/>
  <c r="AD43" i="4" s="1"/>
  <c r="AE43" i="4" s="1"/>
  <c r="AF43" i="4" s="1"/>
  <c r="AG43" i="4" s="1"/>
  <c r="AH43" i="4" s="1"/>
  <c r="AI43" i="4" s="1"/>
  <c r="C42" i="4"/>
  <c r="F24" i="4"/>
  <c r="I24" i="4" s="1"/>
  <c r="L24" i="4" s="1"/>
  <c r="O24" i="4" s="1"/>
  <c r="R24" i="4" s="1"/>
  <c r="U24" i="4" s="1"/>
  <c r="X24" i="4" s="1"/>
  <c r="AA24" i="4" s="1"/>
  <c r="AD24" i="4" s="1"/>
  <c r="AG24" i="4" s="1"/>
  <c r="C21" i="4"/>
  <c r="D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Q21" i="4" s="1"/>
  <c r="R21" i="4" s="1"/>
  <c r="S21" i="4" s="1"/>
  <c r="T21" i="4" s="1"/>
  <c r="U21" i="4" s="1"/>
  <c r="V21" i="4" s="1"/>
  <c r="W21" i="4" s="1"/>
  <c r="X21" i="4" s="1"/>
  <c r="Y21" i="4" s="1"/>
  <c r="X20" i="4"/>
  <c r="Y20" i="4" s="1"/>
  <c r="Z20" i="4" s="1"/>
  <c r="AA20" i="4" s="1"/>
  <c r="AB20" i="4" s="1"/>
  <c r="AC20" i="4" s="1"/>
  <c r="AD20" i="4" s="1"/>
  <c r="AE20" i="4" s="1"/>
  <c r="AF20" i="4" s="1"/>
  <c r="AG20" i="4" s="1"/>
  <c r="AH20" i="4" s="1"/>
  <c r="U53" i="4" l="1"/>
  <c r="V53" i="4" s="1"/>
  <c r="W53" i="4" s="1"/>
  <c r="X53" i="4" s="1"/>
  <c r="Y53" i="4" s="1"/>
  <c r="Z53" i="4" s="1"/>
  <c r="AA53" i="4" s="1"/>
  <c r="AB53" i="4" s="1"/>
  <c r="C46" i="4"/>
  <c r="Q79" i="4"/>
  <c r="R79" i="4" s="1"/>
  <c r="S79" i="4" s="1"/>
  <c r="T79" i="4" s="1"/>
  <c r="U79" i="4" s="1"/>
  <c r="V79" i="4" s="1"/>
  <c r="W79" i="4" s="1"/>
  <c r="X79" i="4" s="1"/>
  <c r="Y79" i="4" s="1"/>
  <c r="Z79" i="4" s="1"/>
  <c r="AA79" i="4" s="1"/>
  <c r="AB79" i="4" s="1"/>
  <c r="N79" i="4"/>
  <c r="O79" i="4" s="1"/>
  <c r="P79" i="4" s="1"/>
  <c r="Q54" i="4"/>
  <c r="R54" i="4" s="1"/>
  <c r="S54" i="4" s="1"/>
  <c r="T54" i="4" s="1"/>
  <c r="U54" i="4" s="1"/>
  <c r="V54" i="4" s="1"/>
  <c r="W54" i="4" s="1"/>
  <c r="X54" i="4" s="1"/>
  <c r="Y54" i="4" s="1"/>
  <c r="Z54" i="4" s="1"/>
  <c r="AA54" i="4" s="1"/>
  <c r="AB54" i="4" s="1"/>
  <c r="N54" i="4"/>
  <c r="O54" i="4" s="1"/>
  <c r="P54" i="4" s="1"/>
  <c r="D76" i="4"/>
  <c r="E76" i="4" s="1"/>
  <c r="F76" i="4" s="1"/>
  <c r="G76" i="4" s="1"/>
  <c r="H76" i="4" s="1"/>
  <c r="I76" i="4" s="1"/>
  <c r="J76" i="4" s="1"/>
  <c r="C80" i="4"/>
  <c r="F46" i="4"/>
  <c r="D42" i="4"/>
  <c r="E42" i="4" s="1"/>
  <c r="F42" i="4" s="1"/>
  <c r="G42" i="4" s="1"/>
  <c r="H42" i="4" s="1"/>
  <c r="I42" i="4" s="1"/>
  <c r="J42" i="4" s="1"/>
  <c r="J46" i="4" s="1"/>
  <c r="H46" i="4"/>
  <c r="K42" i="4"/>
  <c r="I46" i="4"/>
  <c r="Z21" i="4"/>
  <c r="AA21" i="4" s="1"/>
  <c r="AB21" i="4" s="1"/>
  <c r="AC21" i="4"/>
  <c r="AD21" i="4" s="1"/>
  <c r="AE21" i="4" s="1"/>
  <c r="AF21" i="4" s="1"/>
  <c r="AG21" i="4" s="1"/>
  <c r="AH21" i="4" s="1"/>
  <c r="AI21" i="4" s="1"/>
  <c r="E46" i="4"/>
  <c r="I81" i="4" l="1"/>
  <c r="K76" i="4"/>
  <c r="J80" i="4"/>
  <c r="H80" i="4"/>
  <c r="H81" i="4"/>
  <c r="F80" i="4"/>
  <c r="E80" i="4"/>
  <c r="I80" i="4"/>
  <c r="D80" i="4"/>
  <c r="G80" i="4"/>
  <c r="J81" i="4"/>
  <c r="G46" i="4"/>
  <c r="D46" i="4"/>
  <c r="L42" i="4"/>
  <c r="K47" i="4"/>
  <c r="K46" i="4"/>
  <c r="L76" i="4" l="1"/>
  <c r="K80" i="4"/>
  <c r="K81" i="4"/>
  <c r="M42" i="4"/>
  <c r="L46" i="4"/>
  <c r="L47" i="4"/>
  <c r="M76" i="4" l="1"/>
  <c r="L80" i="4"/>
  <c r="L81" i="4"/>
  <c r="N42" i="4"/>
  <c r="M46" i="4"/>
  <c r="M47" i="4"/>
  <c r="N76" i="4" l="1"/>
  <c r="M81" i="4"/>
  <c r="M80" i="4"/>
  <c r="O42" i="4"/>
  <c r="N46" i="4"/>
  <c r="N47" i="4"/>
  <c r="D29" i="1"/>
  <c r="O76" i="4" l="1"/>
  <c r="N81" i="4"/>
  <c r="N80" i="4"/>
  <c r="P42" i="4"/>
  <c r="O47" i="4"/>
  <c r="O46" i="4"/>
  <c r="AA18" i="1"/>
  <c r="Y28" i="1"/>
  <c r="AA5" i="1"/>
  <c r="AA12" i="1"/>
  <c r="AA11" i="1"/>
  <c r="AA10" i="1"/>
  <c r="AA9" i="1"/>
  <c r="AA8" i="1"/>
  <c r="AA7" i="1"/>
  <c r="AA6" i="1"/>
  <c r="T18" i="1"/>
  <c r="P76" i="4" l="1"/>
  <c r="O81" i="4"/>
  <c r="O80" i="4"/>
  <c r="Q42" i="4"/>
  <c r="P46" i="4"/>
  <c r="P47" i="4"/>
  <c r="Y30" i="1"/>
  <c r="Q76" i="4" l="1"/>
  <c r="P80" i="4"/>
  <c r="P81" i="4"/>
  <c r="R42" i="4"/>
  <c r="Q47" i="4"/>
  <c r="Q46" i="4"/>
  <c r="H129" i="4"/>
  <c r="H101" i="4"/>
  <c r="H103" i="4"/>
  <c r="H102" i="4"/>
  <c r="R76" i="4" l="1"/>
  <c r="Q81" i="4"/>
  <c r="Q80" i="4"/>
  <c r="R47" i="4"/>
  <c r="R46" i="4"/>
  <c r="S42" i="4"/>
  <c r="I102" i="4"/>
  <c r="I129" i="4"/>
  <c r="I103" i="4"/>
  <c r="S76" i="4" l="1"/>
  <c r="R80" i="4"/>
  <c r="R81" i="4"/>
  <c r="S46" i="4"/>
  <c r="T42" i="4"/>
  <c r="S47" i="4"/>
  <c r="S80" i="4" l="1"/>
  <c r="T76" i="4"/>
  <c r="S81" i="4"/>
  <c r="U42" i="4"/>
  <c r="T46" i="4"/>
  <c r="T47" i="4"/>
  <c r="U76" i="4" l="1"/>
  <c r="T80" i="4"/>
  <c r="T81" i="4"/>
  <c r="V42" i="4"/>
  <c r="U46" i="4"/>
  <c r="U47" i="4"/>
  <c r="G100" i="4"/>
  <c r="F100" i="4"/>
  <c r="U81" i="4" l="1"/>
  <c r="V76" i="4"/>
  <c r="U80" i="4"/>
  <c r="W42" i="4"/>
  <c r="V47" i="4"/>
  <c r="V46" i="4"/>
  <c r="U22" i="1"/>
  <c r="E29" i="1" s="1"/>
  <c r="V16" i="1"/>
  <c r="W76" i="4" l="1"/>
  <c r="V81" i="4"/>
  <c r="V80" i="4"/>
  <c r="X42" i="4"/>
  <c r="W47" i="4"/>
  <c r="W46" i="4"/>
  <c r="V14" i="1"/>
  <c r="V13" i="1"/>
  <c r="V12" i="1"/>
  <c r="V11" i="1"/>
  <c r="V10" i="1"/>
  <c r="V9" i="1"/>
  <c r="V8" i="1"/>
  <c r="V6" i="1"/>
  <c r="V7" i="1"/>
  <c r="AA19" i="1"/>
  <c r="AA17" i="1"/>
  <c r="AA13" i="1"/>
  <c r="AA14" i="1"/>
  <c r="AA15" i="1"/>
  <c r="AA16" i="1"/>
  <c r="Y26" i="1"/>
  <c r="Y19" i="1"/>
  <c r="Y18" i="1"/>
  <c r="Y17" i="1"/>
  <c r="Y16" i="1"/>
  <c r="Y15" i="1"/>
  <c r="C100" i="4"/>
  <c r="B100" i="4"/>
  <c r="C129" i="4" s="1"/>
  <c r="Y10" i="1"/>
  <c r="Y5" i="1"/>
  <c r="Y7" i="1"/>
  <c r="Y12" i="1"/>
  <c r="Y8" i="1"/>
  <c r="Y14" i="1"/>
  <c r="Y6" i="1"/>
  <c r="Y11" i="1"/>
  <c r="Y13" i="1"/>
  <c r="Y9" i="1"/>
  <c r="V5" i="1"/>
  <c r="I106" i="4"/>
  <c r="I111" i="4"/>
  <c r="I113" i="4"/>
  <c r="H108" i="4"/>
  <c r="I123" i="4"/>
  <c r="I110" i="4"/>
  <c r="H106" i="4"/>
  <c r="H113" i="4"/>
  <c r="I125" i="4"/>
  <c r="I114" i="4"/>
  <c r="I119" i="4"/>
  <c r="H107" i="4"/>
  <c r="I108" i="4"/>
  <c r="H117" i="4"/>
  <c r="I105" i="4"/>
  <c r="H118" i="4"/>
  <c r="I117" i="4"/>
  <c r="H112" i="4"/>
  <c r="H115" i="4"/>
  <c r="H119" i="4"/>
  <c r="I112" i="4"/>
  <c r="H125" i="4"/>
  <c r="H116" i="4"/>
  <c r="I121" i="4"/>
  <c r="I122" i="4"/>
  <c r="I124" i="4"/>
  <c r="H114" i="4"/>
  <c r="H122" i="4"/>
  <c r="I118" i="4"/>
  <c r="I120" i="4"/>
  <c r="H111" i="4"/>
  <c r="I116" i="4"/>
  <c r="I115" i="4"/>
  <c r="H123" i="4"/>
  <c r="H110" i="4"/>
  <c r="H121" i="4"/>
  <c r="I107" i="4"/>
  <c r="H109" i="4"/>
  <c r="H105" i="4"/>
  <c r="H120" i="4"/>
  <c r="H124" i="4"/>
  <c r="I109" i="4"/>
  <c r="B129" i="4" l="1"/>
  <c r="B103" i="4"/>
  <c r="B102" i="4"/>
  <c r="B120" i="4"/>
  <c r="B107" i="4"/>
  <c r="X76" i="4"/>
  <c r="W81" i="4"/>
  <c r="W80" i="4"/>
  <c r="Y42" i="4"/>
  <c r="X46" i="4"/>
  <c r="X47" i="4"/>
  <c r="W21" i="1"/>
  <c r="AA20" i="1"/>
  <c r="X28" i="1"/>
  <c r="W28" i="1"/>
  <c r="W26" i="1"/>
  <c r="X26" i="1"/>
  <c r="I101" i="4"/>
  <c r="I104" i="4"/>
  <c r="H104" i="4"/>
  <c r="C6" i="1"/>
  <c r="D18" i="1" l="1"/>
  <c r="E18" i="1"/>
  <c r="B101" i="4"/>
  <c r="C102" i="4"/>
  <c r="E17" i="1"/>
  <c r="Y76" i="4"/>
  <c r="X80" i="4"/>
  <c r="X81" i="4"/>
  <c r="Z42" i="4"/>
  <c r="Y47" i="4"/>
  <c r="Y46" i="4"/>
  <c r="B117" i="4"/>
  <c r="B119" i="4"/>
  <c r="K100" i="4"/>
  <c r="J100" i="4"/>
  <c r="W20" i="1"/>
  <c r="X20" i="1"/>
  <c r="B121" i="4"/>
  <c r="D24" i="1" s="1"/>
  <c r="B110" i="4"/>
  <c r="B116" i="4"/>
  <c r="B118" i="4"/>
  <c r="B108" i="4"/>
  <c r="E23" i="1"/>
  <c r="B114" i="4"/>
  <c r="B109" i="4"/>
  <c r="B115" i="4"/>
  <c r="B123" i="4"/>
  <c r="D26" i="1" s="1"/>
  <c r="B111" i="4"/>
  <c r="B112" i="4"/>
  <c r="B105" i="4"/>
  <c r="B113" i="4"/>
  <c r="B104" i="4"/>
  <c r="B106" i="4"/>
  <c r="E11" i="1"/>
  <c r="E5" i="1"/>
  <c r="W32" i="1"/>
  <c r="B13" i="1" s="1"/>
  <c r="W30" i="1"/>
  <c r="Z76" i="4" l="1"/>
  <c r="Y81" i="4"/>
  <c r="Y80" i="4"/>
  <c r="Z46" i="4"/>
  <c r="Z47" i="4"/>
  <c r="AA42" i="4"/>
  <c r="B125" i="4"/>
  <c r="E28" i="1" s="1"/>
  <c r="E26" i="1"/>
  <c r="D127" i="4"/>
  <c r="E19" i="1"/>
  <c r="E40" i="1" s="1"/>
  <c r="D19" i="1"/>
  <c r="E39" i="1"/>
  <c r="D23" i="1"/>
  <c r="E24" i="1"/>
  <c r="D17" i="1"/>
  <c r="B127" i="4"/>
  <c r="V22" i="1" l="1"/>
  <c r="D22" i="1"/>
  <c r="E22" i="1" s="1"/>
  <c r="Z80" i="4"/>
  <c r="AA76" i="4"/>
  <c r="Z81" i="4"/>
  <c r="AA46" i="4"/>
  <c r="AB42" i="4"/>
  <c r="AA47" i="4"/>
  <c r="D28" i="1"/>
  <c r="E38" i="1"/>
  <c r="E42" i="1" s="1"/>
  <c r="AA80" i="4" l="1"/>
  <c r="AB76" i="4"/>
  <c r="AA81" i="4"/>
  <c r="AC42" i="4"/>
  <c r="AB46" i="4"/>
  <c r="AB47" i="4"/>
  <c r="AB80" i="4" l="1"/>
  <c r="AB81" i="4"/>
  <c r="AD42" i="4"/>
  <c r="AC46" i="4"/>
  <c r="AC47" i="4"/>
  <c r="AE42" i="4" l="1"/>
  <c r="AD47" i="4"/>
  <c r="AD46" i="4"/>
  <c r="AF42" i="4" l="1"/>
  <c r="AE46" i="4"/>
  <c r="AE47" i="4"/>
  <c r="AG42" i="4" l="1"/>
  <c r="AF46" i="4"/>
  <c r="AF47" i="4"/>
  <c r="AG47" i="4" l="1"/>
  <c r="AH42" i="4"/>
  <c r="AG46" i="4"/>
  <c r="B122" i="4" l="1"/>
  <c r="E25" i="1" s="1"/>
  <c r="AH46" i="4"/>
  <c r="AI42" i="4"/>
  <c r="AI46" i="4" s="1"/>
  <c r="AH47" i="4"/>
  <c r="B124" i="4"/>
  <c r="D27" i="1" s="1"/>
  <c r="E27" i="1" s="1"/>
  <c r="G27" i="1" s="1"/>
  <c r="E31" i="1" l="1"/>
  <c r="E33" i="1" s="1"/>
  <c r="E35" i="1" s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pastyrik</author>
    <author>pastyrik jakub</author>
  </authors>
  <commentList>
    <comment ref="G1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pastyrik:</t>
        </r>
        <r>
          <rPr>
            <sz val="9"/>
            <color indexed="81"/>
            <rFont val="Tahoma"/>
            <family val="2"/>
            <charset val="238"/>
          </rPr>
          <t xml:space="preserve">
pokud nechcete individuální cenu napište 0
</t>
        </r>
      </text>
    </comment>
    <comment ref="B26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pastyrik jakub:</t>
        </r>
        <r>
          <rPr>
            <sz val="9"/>
            <color indexed="81"/>
            <rFont val="Tahoma"/>
            <family val="2"/>
            <charset val="238"/>
          </rPr>
          <t xml:space="preserve">
maximální platba ve fakturovaném období za tuto složku ceny je součin odebrabraného množství elektřiny a částky 495 Kč/MWh</t>
        </r>
      </text>
    </comment>
    <comment ref="G2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pastyrik jakub:</t>
        </r>
        <r>
          <rPr>
            <sz val="9"/>
            <color indexed="81"/>
            <rFont val="Tahoma"/>
            <family val="2"/>
            <charset val="238"/>
          </rPr>
          <t xml:space="preserve">
Klient bude platit</t>
        </r>
      </text>
    </comment>
  </commentList>
</comments>
</file>

<file path=xl/sharedStrings.xml><?xml version="1.0" encoding="utf-8"?>
<sst xmlns="http://schemas.openxmlformats.org/spreadsheetml/2006/main" count="300" uniqueCount="181">
  <si>
    <t xml:space="preserve"> </t>
  </si>
  <si>
    <t>Klient:</t>
  </si>
  <si>
    <t>P r o p e r t i J a  K u B  P A s T y r i k</t>
  </si>
  <si>
    <t>Provozovatelé distribučních soustav</t>
  </si>
  <si>
    <t>PREdistribuce, a.s., Svornosti 3199/19a, 150 00 Praha 5, IČ: 27376516</t>
  </si>
  <si>
    <t>E.ON Distribuce, a.s., F. A. Gerstnera 2151/6, 370 49 České Budějovice, IČ: 28085400</t>
  </si>
  <si>
    <t>ČEZ Distribuce, a. s., Teplická 874/8, 405 02 Děčín 4 - Podmokly, IČ: 24729035</t>
  </si>
  <si>
    <t>SV sevisní, s.r.o., Dolní 100, 796 01 Prostějov, IČ 6025974</t>
  </si>
  <si>
    <t>Sazby a pevné ceny distribuce elektřiny pro odběratele odebírající elektřinu ze sítí nízkého napětí - kategorie C</t>
  </si>
  <si>
    <t>Sazba C 01d</t>
  </si>
  <si>
    <t>Sazba C 02d</t>
  </si>
  <si>
    <t>Sazba C 03d</t>
  </si>
  <si>
    <t>Sazba C 25d</t>
  </si>
  <si>
    <t>Sazba C 26d</t>
  </si>
  <si>
    <t>Sazba C 35d</t>
  </si>
  <si>
    <t>Sazba C 45d</t>
  </si>
  <si>
    <t>Sazba C 55d</t>
  </si>
  <si>
    <t>Sazba C 56d</t>
  </si>
  <si>
    <t>Silová elektřina se skládá:</t>
  </si>
  <si>
    <t xml:space="preserve"> - z měsíčního platu za odběrné místo v Kč/měs</t>
  </si>
  <si>
    <t>Pevná cena distribuce elektřiny se skládá:</t>
  </si>
  <si>
    <t xml:space="preserve"> - z měsíčního platu za příkon podle jmenovité proudové hodnoty hlavního jističe před elektroměrem, jehož výše v Kč činí:</t>
  </si>
  <si>
    <t>PRE</t>
  </si>
  <si>
    <t>ČEZ</t>
  </si>
  <si>
    <t>jistič do 3x10 A a do 1x25 A včetně</t>
  </si>
  <si>
    <t>jistič nad 3x10 A do 3x16 A včetně</t>
  </si>
  <si>
    <t>jistič nad 3x16 A do 3x20 A včetně</t>
  </si>
  <si>
    <t>jistič nad 3x20 A do 3x25 A včetně</t>
  </si>
  <si>
    <t>jistič nad 3x25 A do 3x32 A včetně</t>
  </si>
  <si>
    <t>jistič nad 3x32 A do 3x40 A včetně</t>
  </si>
  <si>
    <t>jistič nad 3x40 A do 3x50 A včetně</t>
  </si>
  <si>
    <t>jistič nad 3x50 A do 3x63 A včetně</t>
  </si>
  <si>
    <t>jistič nad 3x63 A do 3x80 A včetně</t>
  </si>
  <si>
    <t>jistič nad 3x80 A do 3x100 A včetně</t>
  </si>
  <si>
    <t>jistič nad 3x100 A do 3x125 A včetně</t>
  </si>
  <si>
    <t>jistič nad 3x125 A do 3x160 A včetně</t>
  </si>
  <si>
    <t>jistič nad 3x160 A za každou 1 A</t>
  </si>
  <si>
    <t>jistič nad 1x25 A za každou 1 A</t>
  </si>
  <si>
    <t xml:space="preserve"> - z platu za distribuované množství elektřiny:</t>
  </si>
  <si>
    <t>VT Kč/MWh</t>
  </si>
  <si>
    <t>NT Kč/MWh</t>
  </si>
  <si>
    <t xml:space="preserve"> - z platu za systémové služby v Kč/MWh</t>
  </si>
  <si>
    <t xml:space="preserve"> - z platu za obn.zdroje, KVET a druhotné zdr. v Kč/MWh</t>
  </si>
  <si>
    <t>Sazby a pevné ceny distribuce elektřiny pro odběratele odebírající elektřinu ze sítí nízkého napětí - kategorie D</t>
  </si>
  <si>
    <t>Sazba D 01d</t>
  </si>
  <si>
    <t>Sazba D 02d</t>
  </si>
  <si>
    <t>Sazba D 25d</t>
  </si>
  <si>
    <t>Sazba D 26d</t>
  </si>
  <si>
    <t>Sazba D 45d</t>
  </si>
  <si>
    <t>Sazba D 56d</t>
  </si>
  <si>
    <t>jistič nad 3x63 A za každou 1A</t>
  </si>
  <si>
    <t>Spotřeba ve VT [MWh]</t>
  </si>
  <si>
    <t>Spotřeba ve NT [MWh]</t>
  </si>
  <si>
    <t>Sazba</t>
  </si>
  <si>
    <t>Provozovatel DS</t>
  </si>
  <si>
    <t>PREdistribuce</t>
  </si>
  <si>
    <t>D 01d</t>
  </si>
  <si>
    <t>D 02d</t>
  </si>
  <si>
    <t>D 26d</t>
  </si>
  <si>
    <t>D 45d</t>
  </si>
  <si>
    <t>D 56d</t>
  </si>
  <si>
    <t>C 01d</t>
  </si>
  <si>
    <t>C 02d</t>
  </si>
  <si>
    <t>C 03d</t>
  </si>
  <si>
    <t>C 25d</t>
  </si>
  <si>
    <t>C 35d</t>
  </si>
  <si>
    <t>C 45d</t>
  </si>
  <si>
    <t>C 55d</t>
  </si>
  <si>
    <t>C 56d</t>
  </si>
  <si>
    <t>C 26d</t>
  </si>
  <si>
    <t>D 25d</t>
  </si>
  <si>
    <t>Kategorie D</t>
  </si>
  <si>
    <t>Kategorie C</t>
  </si>
  <si>
    <t>D=1/C=2</t>
  </si>
  <si>
    <t>VT</t>
  </si>
  <si>
    <t>NT</t>
  </si>
  <si>
    <t>sazba</t>
  </si>
  <si>
    <t>sazba D</t>
  </si>
  <si>
    <t>sazba C</t>
  </si>
  <si>
    <t>Jistic D</t>
  </si>
  <si>
    <t>Jistic C</t>
  </si>
  <si>
    <t>offset</t>
  </si>
  <si>
    <t>C</t>
  </si>
  <si>
    <t>D</t>
  </si>
  <si>
    <t>silovka</t>
  </si>
  <si>
    <t>odber misto</t>
  </si>
  <si>
    <t>sys</t>
  </si>
  <si>
    <t>Cena za silovou elektřinu:</t>
  </si>
  <si>
    <t>Vaše roční platba</t>
  </si>
  <si>
    <t>jistič</t>
  </si>
  <si>
    <t>Ceníková položka</t>
  </si>
  <si>
    <t xml:space="preserve"> - platba za příkon podle hlavního jističe Kč/měs:</t>
  </si>
  <si>
    <t xml:space="preserve"> - za distribuovanou el. v VT Kč/MWh:</t>
  </si>
  <si>
    <t xml:space="preserve"> - za distribuovanou el. v NT Kč/MWh:</t>
  </si>
  <si>
    <t xml:space="preserve"> - platba za odběrné místo v Kč/měs:</t>
  </si>
  <si>
    <t xml:space="preserve"> - za obn.zdroje, KVET a druh. zdr. v Kč/MWh:</t>
  </si>
  <si>
    <t xml:space="preserve"> - za systémové služby v Kč/MWh:</t>
  </si>
  <si>
    <t>Hodnota proud. jističe</t>
  </si>
  <si>
    <t>Pevná cena za distribuci el.:</t>
  </si>
  <si>
    <t xml:space="preserve"> - za množství odebrané VT elektřiny v Kč/MWh:</t>
  </si>
  <si>
    <t xml:space="preserve"> - za množství odebrané NT elektřiny v Kč/MWh:</t>
  </si>
  <si>
    <t>Stávající platba vč. DPH [Kč]</t>
  </si>
  <si>
    <t>Platba celkem za rok s DPH v Kč</t>
  </si>
  <si>
    <t>Platba celkem za rok bez DPH v Kč</t>
  </si>
  <si>
    <t xml:space="preserve"> - Daň z elektřiny Kč/MWh:</t>
  </si>
  <si>
    <t>Plátce daně z elektřiny</t>
  </si>
  <si>
    <t>NE</t>
  </si>
  <si>
    <t>ANO</t>
  </si>
  <si>
    <t>Zadej proudové jištění [A]</t>
  </si>
  <si>
    <t>Měsíční záloha v Kč s DPH</t>
  </si>
  <si>
    <t>Současná cena za silovou El. ve VT kč/MWh</t>
  </si>
  <si>
    <t>Současná cena za silovou El. ve NT kč/MWh</t>
  </si>
  <si>
    <t>Současná platba za odběrné místo v Kč/měs</t>
  </si>
  <si>
    <t xml:space="preserve"> - za silovou elektřinu ve VT </t>
  </si>
  <si>
    <t xml:space="preserve"> - za silovou elektřinu ve NT </t>
  </si>
  <si>
    <t xml:space="preserve"> - za platbu za odběrné místo </t>
  </si>
  <si>
    <t>Úspora pro klienta ČT:</t>
  </si>
  <si>
    <t>Úspora celkem pro klienta za rok s DPH v Kč</t>
  </si>
  <si>
    <t>VT i NT</t>
  </si>
  <si>
    <t>tarif VT a C5 &lt;&gt; 0</t>
  </si>
  <si>
    <t>tarif VT a D11 &lt;&gt; 0</t>
  </si>
  <si>
    <t>tarif VTNT a C5 = 0</t>
  </si>
  <si>
    <t>tarif VTNT a D11 = 0</t>
  </si>
  <si>
    <t>** Nezadávejte spotřebu v NT zadejte 0</t>
  </si>
  <si>
    <t>** Nezadávejte cenu za silovou el. v NT - zadejte 0</t>
  </si>
  <si>
    <t>** Nezadávejte spotřebu v NT ani cenu v NT - zadejte 0</t>
  </si>
  <si>
    <t>** Zadejte roční spotřebu el. v NT [MWh]</t>
  </si>
  <si>
    <t>** Zadejte cenu  silové el. v NT u současného dodavatele</t>
  </si>
  <si>
    <t>** Zadejte spotřebu v NT a současnou cenu za silovou el. v NT</t>
  </si>
  <si>
    <t>Individuální cena</t>
  </si>
  <si>
    <t>*</t>
  </si>
  <si>
    <t>***</t>
  </si>
  <si>
    <t>Sazba D 35d</t>
  </si>
  <si>
    <t>CEZ=1/E.ON=2/PRE=3</t>
  </si>
  <si>
    <t>D 35d</t>
  </si>
  <si>
    <t>Sazba C 46d</t>
  </si>
  <si>
    <t>D 57d</t>
  </si>
  <si>
    <t>C 46d</t>
  </si>
  <si>
    <t xml:space="preserve"> - z platu za obn.zdroje, KVET a druhotné zdr. v Kč/A/měs. a fázi *)</t>
  </si>
  <si>
    <t xml:space="preserve"> - z platu za činnost OTE v Kč/OPM/měs. **)</t>
  </si>
  <si>
    <t>Celkem cena za proměnnou část tarifu ve VT v Kč/MWh</t>
  </si>
  <si>
    <t>Celkem cena za proměnnou část tarifu v NT v Kč/MWh</t>
  </si>
  <si>
    <t>kvet/m</t>
  </si>
  <si>
    <t>kvet/A/m</t>
  </si>
  <si>
    <t>OTE</t>
  </si>
  <si>
    <t>Sazba D 57d</t>
  </si>
  <si>
    <t>fáze</t>
  </si>
  <si>
    <t>Fáze</t>
  </si>
  <si>
    <t>Sazba =D57d a A&gt;160 a 3 Fáze</t>
  </si>
  <si>
    <t>A&gt;25 a 1 Faze</t>
  </si>
  <si>
    <t>Sazba !=D57d a A&gt;63 a 3 Fáze a Decko</t>
  </si>
  <si>
    <t>All</t>
  </si>
  <si>
    <t>decko mimo D57</t>
  </si>
  <si>
    <t>Jen Cecko a D57</t>
  </si>
  <si>
    <t>Ampery</t>
  </si>
  <si>
    <t>****</t>
  </si>
  <si>
    <t xml:space="preserve"> - za obn.zdroje, KVET a druh. zdr. v Kč/A/měs. a fázi</t>
  </si>
  <si>
    <t>*) Zde můžete zákazníkovi zadat individuální cenu za MWh, jinak ponechte hodnotu 0</t>
  </si>
  <si>
    <t>***) Měsíční záloha je zaokrouhlena na celé stokoruny</t>
  </si>
  <si>
    <t>****) maximální platba ve fakturovaném období za tuto složku ceny je součin odebraného množství elektřiny a částky 495 Kč/MWh</t>
  </si>
  <si>
    <t>Tomáš Slunečník</t>
  </si>
  <si>
    <t xml:space="preserve"> - z platu za činnost OTE v v Kč/OPM/měs.</t>
  </si>
  <si>
    <t>.</t>
  </si>
  <si>
    <t>D 27d</t>
  </si>
  <si>
    <t>Sazba D 27d</t>
  </si>
  <si>
    <t>Ceník Most</t>
  </si>
  <si>
    <t>Produkt: MOST</t>
  </si>
  <si>
    <t>Sazba C 27d</t>
  </si>
  <si>
    <t>Sazba C 62d</t>
  </si>
  <si>
    <t xml:space="preserve"> - z platu za množství odebrané elektřiny ve VT v Kč/MWh</t>
  </si>
  <si>
    <t xml:space="preserve"> - z platu za množství odebrané elektřiny v NT v Kč/MWh</t>
  </si>
  <si>
    <t>EG.D</t>
  </si>
  <si>
    <t>jistič nad 3x160 A za každý 1 A</t>
  </si>
  <si>
    <t>jistič nad 1x25 A za každý 1 A</t>
  </si>
  <si>
    <t>EG.D (E.ON)</t>
  </si>
  <si>
    <t>C 27d</t>
  </si>
  <si>
    <t>https://www.cesketeplo.cz/</t>
  </si>
  <si>
    <t>Platnost ceníkových      položek od 1.1.2022</t>
  </si>
  <si>
    <t>Platnost od 1.1.2022</t>
  </si>
  <si>
    <t>Zpracováno na základě ceníku dostupného na:</t>
  </si>
  <si>
    <t>2022-Verze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</si>
</sst>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_ ;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"/>
      <family val="2"/>
      <charset val="238"/>
    </font>
    <font>
      <b/>
      <sz val="16"/>
      <color rgb="FFC0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mediumDashed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2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/>
    </xf>
    <xf numFmtId="0" fontId="3" fillId="0" borderId="0" xfId="0" applyFont="1"/>
    <xf numFmtId="0" fontId="4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wrapText="1"/>
    </xf>
    <xf numFmtId="0" fontId="8" fillId="0" borderId="0" xfId="0" applyNumberFormat="1" applyFont="1" applyFill="1" applyBorder="1" applyAlignment="1" applyProtection="1">
      <alignment vertical="top"/>
    </xf>
    <xf numFmtId="4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top"/>
    </xf>
    <xf numFmtId="4" fontId="10" fillId="0" borderId="0" xfId="0" applyNumberFormat="1" applyFont="1" applyFill="1" applyBorder="1" applyAlignment="1" applyProtection="1">
      <alignment horizontal="center" vertical="top"/>
    </xf>
    <xf numFmtId="0" fontId="7" fillId="0" borderId="0" xfId="0" applyNumberFormat="1" applyFont="1" applyFill="1" applyBorder="1" applyAlignment="1" applyProtection="1">
      <alignment horizontal="left" vertical="top"/>
    </xf>
    <xf numFmtId="0" fontId="0" fillId="0" borderId="0" xfId="0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3" fillId="6" borderId="27" xfId="0" applyFont="1" applyFill="1" applyBorder="1" applyAlignment="1">
      <alignment horizontal="center"/>
    </xf>
    <xf numFmtId="0" fontId="14" fillId="3" borderId="9" xfId="0" applyFont="1" applyFill="1" applyBorder="1"/>
    <xf numFmtId="0" fontId="14" fillId="3" borderId="10" xfId="0" applyFont="1" applyFill="1" applyBorder="1"/>
    <xf numFmtId="0" fontId="15" fillId="0" borderId="0" xfId="0" applyFont="1"/>
    <xf numFmtId="0" fontId="0" fillId="4" borderId="32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14" fillId="3" borderId="36" xfId="0" applyFont="1" applyFill="1" applyBorder="1"/>
    <xf numFmtId="0" fontId="13" fillId="6" borderId="27" xfId="0" applyFont="1" applyFill="1" applyBorder="1" applyProtection="1">
      <protection hidden="1"/>
    </xf>
    <xf numFmtId="0" fontId="13" fillId="6" borderId="27" xfId="0" applyFont="1" applyFill="1" applyBorder="1" applyAlignment="1" applyProtection="1">
      <alignment horizontal="center"/>
      <protection hidden="1"/>
    </xf>
    <xf numFmtId="0" fontId="0" fillId="0" borderId="0" xfId="0" applyBorder="1" applyProtection="1">
      <protection hidden="1"/>
    </xf>
    <xf numFmtId="0" fontId="0" fillId="4" borderId="9" xfId="0" applyFill="1" applyBorder="1" applyAlignment="1" applyProtection="1">
      <alignment horizontal="right"/>
      <protection locked="0" hidden="1"/>
    </xf>
    <xf numFmtId="0" fontId="0" fillId="4" borderId="11" xfId="0" applyFill="1" applyBorder="1" applyAlignment="1" applyProtection="1">
      <alignment horizontal="right"/>
      <protection locked="0" hidden="1"/>
    </xf>
    <xf numFmtId="0" fontId="16" fillId="6" borderId="27" xfId="0" applyFont="1" applyFill="1" applyBorder="1" applyProtection="1">
      <protection locked="0" hidden="1"/>
    </xf>
    <xf numFmtId="0" fontId="0" fillId="0" borderId="42" xfId="0" applyBorder="1" applyAlignment="1" applyProtection="1">
      <alignment horizontal="right"/>
      <protection locked="0" hidden="1"/>
    </xf>
    <xf numFmtId="0" fontId="0" fillId="0" borderId="0" xfId="0" applyProtection="1">
      <protection locked="0" hidden="1"/>
    </xf>
    <xf numFmtId="164" fontId="0" fillId="0" borderId="0" xfId="0" applyNumberForma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 hidden="1"/>
    </xf>
    <xf numFmtId="0" fontId="19" fillId="0" borderId="0" xfId="0" applyNumberFormat="1" applyFont="1" applyFill="1" applyBorder="1" applyAlignment="1" applyProtection="1">
      <alignment vertical="top"/>
    </xf>
    <xf numFmtId="0" fontId="20" fillId="0" borderId="0" xfId="0" applyNumberFormat="1" applyFont="1" applyFill="1" applyBorder="1" applyAlignment="1" applyProtection="1">
      <alignment vertical="top"/>
    </xf>
    <xf numFmtId="4" fontId="0" fillId="0" borderId="0" xfId="0" applyNumberFormat="1"/>
    <xf numFmtId="4" fontId="4" fillId="0" borderId="0" xfId="0" applyNumberFormat="1" applyFont="1" applyFill="1" applyBorder="1" applyAlignment="1" applyProtection="1">
      <alignment horizontal="right" vertical="center"/>
    </xf>
    <xf numFmtId="0" fontId="8" fillId="7" borderId="0" xfId="0" applyNumberFormat="1" applyFont="1" applyFill="1" applyBorder="1" applyAlignment="1" applyProtection="1">
      <alignment vertical="top"/>
    </xf>
    <xf numFmtId="0" fontId="0" fillId="7" borderId="0" xfId="0" applyFill="1"/>
    <xf numFmtId="0" fontId="4" fillId="8" borderId="0" xfId="0" applyNumberFormat="1" applyFont="1" applyFill="1" applyBorder="1" applyAlignment="1" applyProtection="1">
      <alignment vertical="top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14" fillId="3" borderId="27" xfId="0" applyFont="1" applyFill="1" applyBorder="1"/>
    <xf numFmtId="0" fontId="0" fillId="4" borderId="27" xfId="0" applyFill="1" applyBorder="1" applyAlignment="1" applyProtection="1">
      <alignment horizontal="center"/>
      <protection locked="0"/>
    </xf>
    <xf numFmtId="1" fontId="0" fillId="4" borderId="27" xfId="0" applyNumberFormat="1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hidden="1"/>
    </xf>
    <xf numFmtId="0" fontId="0" fillId="3" borderId="8" xfId="0" applyFill="1" applyBorder="1" applyAlignment="1" applyProtection="1">
      <alignment horizontal="right"/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4" fontId="0" fillId="3" borderId="51" xfId="0" applyNumberFormat="1" applyFill="1" applyBorder="1" applyAlignment="1" applyProtection="1">
      <alignment horizontal="right"/>
      <protection hidden="1"/>
    </xf>
    <xf numFmtId="4" fontId="0" fillId="3" borderId="55" xfId="0" applyNumberFormat="1" applyFill="1" applyBorder="1" applyAlignment="1" applyProtection="1">
      <alignment horizontal="right"/>
      <protection hidden="1"/>
    </xf>
    <xf numFmtId="4" fontId="0" fillId="3" borderId="59" xfId="0" applyNumberFormat="1" applyFill="1" applyBorder="1" applyAlignment="1" applyProtection="1">
      <alignment horizontal="right"/>
      <protection hidden="1"/>
    </xf>
    <xf numFmtId="0" fontId="0" fillId="3" borderId="34" xfId="0" applyFill="1" applyBorder="1" applyAlignment="1" applyProtection="1">
      <alignment horizontal="right"/>
    </xf>
    <xf numFmtId="4" fontId="4" fillId="5" borderId="51" xfId="0" applyNumberFormat="1" applyFont="1" applyFill="1" applyBorder="1" applyAlignment="1">
      <alignment vertical="center"/>
    </xf>
    <xf numFmtId="4" fontId="4" fillId="5" borderId="48" xfId="0" applyNumberFormat="1" applyFont="1" applyFill="1" applyBorder="1" applyAlignment="1">
      <alignment vertical="center"/>
    </xf>
    <xf numFmtId="4" fontId="4" fillId="5" borderId="47" xfId="0" applyNumberFormat="1" applyFont="1" applyFill="1" applyBorder="1" applyAlignment="1">
      <alignment vertical="center"/>
    </xf>
    <xf numFmtId="4" fontId="4" fillId="5" borderId="47" xfId="0" applyNumberFormat="1" applyFont="1" applyFill="1" applyBorder="1" applyAlignment="1">
      <alignment horizontal="right" vertical="center"/>
    </xf>
    <xf numFmtId="4" fontId="4" fillId="5" borderId="51" xfId="0" applyNumberFormat="1" applyFont="1" applyFill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top"/>
    </xf>
    <xf numFmtId="0" fontId="8" fillId="0" borderId="6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8" fillId="0" borderId="44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4" fontId="4" fillId="5" borderId="8" xfId="0" applyNumberFormat="1" applyFont="1" applyFill="1" applyBorder="1" applyAlignment="1">
      <alignment horizontal="right" vertical="center"/>
    </xf>
    <xf numFmtId="4" fontId="4" fillId="5" borderId="12" xfId="0" applyNumberFormat="1" applyFont="1" applyFill="1" applyBorder="1" applyAlignment="1">
      <alignment horizontal="right" vertical="center"/>
    </xf>
    <xf numFmtId="4" fontId="4" fillId="5" borderId="68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vertical="top"/>
    </xf>
    <xf numFmtId="4" fontId="4" fillId="5" borderId="4" xfId="0" applyNumberFormat="1" applyFont="1" applyFill="1" applyBorder="1" applyAlignment="1">
      <alignment horizontal="right" vertical="center"/>
    </xf>
    <xf numFmtId="4" fontId="4" fillId="5" borderId="5" xfId="0" applyNumberFormat="1" applyFont="1" applyFill="1" applyBorder="1" applyAlignment="1">
      <alignment horizontal="right" vertical="center"/>
    </xf>
    <xf numFmtId="4" fontId="4" fillId="5" borderId="69" xfId="0" applyNumberFormat="1" applyFont="1" applyFill="1" applyBorder="1" applyAlignment="1">
      <alignment horizontal="right" vertical="center"/>
    </xf>
    <xf numFmtId="0" fontId="4" fillId="0" borderId="44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67" xfId="0" applyFont="1" applyBorder="1" applyAlignment="1">
      <alignment vertical="top"/>
    </xf>
    <xf numFmtId="0" fontId="4" fillId="0" borderId="19" xfId="0" applyFont="1" applyBorder="1" applyAlignment="1">
      <alignment horizontal="left" vertical="top"/>
    </xf>
    <xf numFmtId="0" fontId="4" fillId="0" borderId="3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top"/>
    </xf>
    <xf numFmtId="4" fontId="4" fillId="0" borderId="6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left" vertical="top"/>
    </xf>
    <xf numFmtId="4" fontId="11" fillId="0" borderId="19" xfId="0" applyNumberFormat="1" applyFont="1" applyBorder="1" applyAlignment="1">
      <alignment horizontal="left" vertical="top"/>
    </xf>
    <xf numFmtId="4" fontId="4" fillId="0" borderId="3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4" fillId="0" borderId="7" xfId="0" applyNumberFormat="1" applyFont="1" applyBorder="1" applyAlignment="1">
      <alignment vertical="top"/>
    </xf>
    <xf numFmtId="4" fontId="4" fillId="0" borderId="8" xfId="0" applyNumberFormat="1" applyFont="1" applyBorder="1" applyAlignment="1">
      <alignment vertical="top"/>
    </xf>
    <xf numFmtId="4" fontId="4" fillId="0" borderId="67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4" fontId="4" fillId="0" borderId="46" xfId="0" applyNumberFormat="1" applyFont="1" applyBorder="1" applyAlignment="1">
      <alignment horizontal="right" vertical="center"/>
    </xf>
    <xf numFmtId="4" fontId="4" fillId="0" borderId="47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horizontal="right" vertical="center"/>
    </xf>
    <xf numFmtId="4" fontId="4" fillId="0" borderId="68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top"/>
    </xf>
    <xf numFmtId="4" fontId="4" fillId="0" borderId="45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4" fillId="0" borderId="69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43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horizontal="left" vertical="top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49" xfId="0" applyNumberFormat="1" applyFont="1" applyBorder="1" applyAlignment="1">
      <alignment horizontal="right" vertical="center"/>
    </xf>
    <xf numFmtId="4" fontId="4" fillId="0" borderId="7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4" fillId="0" borderId="61" xfId="0" applyFont="1" applyBorder="1" applyAlignment="1">
      <alignment vertical="top"/>
    </xf>
    <xf numFmtId="4" fontId="4" fillId="5" borderId="51" xfId="0" applyNumberFormat="1" applyFont="1" applyFill="1" applyBorder="1" applyAlignment="1">
      <alignment vertical="top"/>
    </xf>
    <xf numFmtId="4" fontId="4" fillId="5" borderId="48" xfId="0" applyNumberFormat="1" applyFont="1" applyFill="1" applyBorder="1" applyAlignment="1">
      <alignment vertical="top"/>
    </xf>
    <xf numFmtId="4" fontId="4" fillId="5" borderId="47" xfId="0" applyNumberFormat="1" applyFont="1" applyFill="1" applyBorder="1" applyAlignment="1">
      <alignment vertical="top"/>
    </xf>
    <xf numFmtId="4" fontId="4" fillId="5" borderId="62" xfId="0" applyNumberFormat="1" applyFont="1" applyFill="1" applyBorder="1" applyAlignment="1">
      <alignment vertical="top"/>
    </xf>
    <xf numFmtId="4" fontId="4" fillId="5" borderId="22" xfId="0" applyNumberFormat="1" applyFont="1" applyFill="1" applyBorder="1" applyAlignment="1">
      <alignment horizontal="right" vertical="center"/>
    </xf>
    <xf numFmtId="4" fontId="4" fillId="5" borderId="4" xfId="0" applyNumberFormat="1" applyFont="1" applyFill="1" applyBorder="1" applyAlignment="1">
      <alignment vertical="top"/>
    </xf>
    <xf numFmtId="4" fontId="4" fillId="5" borderId="5" xfId="0" applyNumberFormat="1" applyFont="1" applyFill="1" applyBorder="1" applyAlignment="1">
      <alignment vertical="top"/>
    </xf>
    <xf numFmtId="4" fontId="4" fillId="5" borderId="23" xfId="0" applyNumberFormat="1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51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18" xfId="0" applyNumberFormat="1" applyFont="1" applyBorder="1" applyAlignment="1">
      <alignment horizontal="right" vertical="center"/>
    </xf>
    <xf numFmtId="4" fontId="4" fillId="0" borderId="50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22" fillId="0" borderId="0" xfId="1" applyAlignment="1" applyProtection="1">
      <alignment horizontal="left" vertical="center"/>
      <protection hidden="1"/>
    </xf>
    <xf numFmtId="0" fontId="21" fillId="0" borderId="0" xfId="0" applyFont="1"/>
    <xf numFmtId="0" fontId="2" fillId="2" borderId="3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4" fillId="3" borderId="6" xfId="0" applyFont="1" applyFill="1" applyBorder="1" applyAlignment="1"/>
    <xf numFmtId="0" fontId="0" fillId="0" borderId="38" xfId="0" applyBorder="1" applyAlignment="1"/>
    <xf numFmtId="0" fontId="0" fillId="0" borderId="39" xfId="0" applyBorder="1" applyAlignment="1"/>
    <xf numFmtId="0" fontId="12" fillId="2" borderId="30" xfId="0" applyFont="1" applyFill="1" applyBorder="1" applyAlignment="1" applyProtection="1">
      <alignment horizontal="right" vertical="center"/>
      <protection hidden="1"/>
    </xf>
    <xf numFmtId="0" fontId="12" fillId="2" borderId="12" xfId="0" applyFont="1" applyFill="1" applyBorder="1" applyAlignment="1" applyProtection="1">
      <alignment horizontal="right" vertical="center"/>
      <protection hidden="1"/>
    </xf>
    <xf numFmtId="0" fontId="13" fillId="6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protection hidden="1"/>
    </xf>
    <xf numFmtId="0" fontId="14" fillId="3" borderId="37" xfId="0" applyFont="1" applyFill="1" applyBorder="1" applyAlignment="1"/>
    <xf numFmtId="0" fontId="0" fillId="0" borderId="40" xfId="0" applyBorder="1" applyAlignment="1"/>
    <xf numFmtId="0" fontId="0" fillId="0" borderId="35" xfId="0" applyBorder="1" applyAlignment="1">
      <alignment horizont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36" xfId="0" applyFill="1" applyBorder="1" applyAlignment="1" applyProtection="1">
      <alignment horizontal="center"/>
      <protection locked="0"/>
    </xf>
    <xf numFmtId="4" fontId="0" fillId="3" borderId="2" xfId="0" applyNumberFormat="1" applyFill="1" applyBorder="1" applyAlignment="1" applyProtection="1">
      <alignment horizontal="right"/>
      <protection hidden="1"/>
    </xf>
    <xf numFmtId="4" fontId="0" fillId="3" borderId="30" xfId="0" applyNumberFormat="1" applyFill="1" applyBorder="1" applyAlignment="1" applyProtection="1">
      <alignment horizontal="right"/>
      <protection hidden="1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14" fillId="3" borderId="6" xfId="0" applyFont="1" applyFill="1" applyBorder="1" applyAlignment="1" applyProtection="1">
      <alignment horizontal="center"/>
    </xf>
    <xf numFmtId="0" fontId="14" fillId="3" borderId="15" xfId="0" applyFont="1" applyFill="1" applyBorder="1" applyAlignment="1" applyProtection="1">
      <alignment horizontal="center"/>
    </xf>
    <xf numFmtId="0" fontId="12" fillId="2" borderId="57" xfId="0" applyFont="1" applyFill="1" applyBorder="1" applyAlignment="1" applyProtection="1">
      <alignment horizontal="right" vertical="center"/>
      <protection hidden="1"/>
    </xf>
    <xf numFmtId="0" fontId="0" fillId="0" borderId="58" xfId="0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horizontal="right" vertical="center"/>
      <protection hidden="1"/>
    </xf>
    <xf numFmtId="0" fontId="12" fillId="2" borderId="31" xfId="0" applyFont="1" applyFill="1" applyBorder="1" applyAlignment="1" applyProtection="1">
      <alignment horizontal="right" vertical="center"/>
      <protection hidden="1"/>
    </xf>
    <xf numFmtId="4" fontId="0" fillId="3" borderId="8" xfId="0" applyNumberFormat="1" applyFill="1" applyBorder="1" applyAlignment="1" applyProtection="1">
      <alignment horizontal="right"/>
      <protection hidden="1"/>
    </xf>
    <xf numFmtId="0" fontId="1" fillId="6" borderId="33" xfId="0" applyFont="1" applyFill="1" applyBorder="1" applyAlignment="1" applyProtection="1">
      <alignment horizontal="right"/>
      <protection hidden="1"/>
    </xf>
    <xf numFmtId="0" fontId="0" fillId="0" borderId="34" xfId="0" applyBorder="1" applyAlignment="1" applyProtection="1">
      <alignment horizontal="right"/>
      <protection hidden="1"/>
    </xf>
    <xf numFmtId="0" fontId="12" fillId="2" borderId="53" xfId="0" applyFont="1" applyFill="1" applyBorder="1" applyAlignment="1" applyProtection="1">
      <alignment horizontal="right" vertical="center"/>
      <protection hidden="1"/>
    </xf>
    <xf numFmtId="0" fontId="0" fillId="0" borderId="54" xfId="0" applyBorder="1" applyAlignment="1" applyProtection="1">
      <alignment horizontal="right" vertical="center"/>
      <protection hidden="1"/>
    </xf>
    <xf numFmtId="4" fontId="0" fillId="3" borderId="55" xfId="0" applyNumberFormat="1" applyFill="1" applyBorder="1" applyAlignment="1" applyProtection="1">
      <alignment horizontal="right"/>
      <protection hidden="1"/>
    </xf>
    <xf numFmtId="4" fontId="0" fillId="3" borderId="56" xfId="0" applyNumberFormat="1" applyFill="1" applyBorder="1" applyAlignment="1" applyProtection="1">
      <alignment horizontal="right"/>
      <protection hidden="1"/>
    </xf>
    <xf numFmtId="4" fontId="1" fillId="4" borderId="28" xfId="0" applyNumberFormat="1" applyFont="1" applyFill="1" applyBorder="1" applyAlignment="1" applyProtection="1">
      <alignment horizontal="right"/>
      <protection hidden="1"/>
    </xf>
    <xf numFmtId="4" fontId="1" fillId="4" borderId="29" xfId="0" applyNumberFormat="1" applyFont="1" applyFill="1" applyBorder="1" applyAlignment="1" applyProtection="1">
      <alignment horizontal="right"/>
      <protection hidden="1"/>
    </xf>
    <xf numFmtId="4" fontId="0" fillId="3" borderId="59" xfId="0" applyNumberFormat="1" applyFill="1" applyBorder="1" applyAlignment="1" applyProtection="1">
      <alignment horizontal="right"/>
      <protection hidden="1"/>
    </xf>
    <xf numFmtId="4" fontId="0" fillId="3" borderId="60" xfId="0" applyNumberFormat="1" applyFill="1" applyBorder="1" applyAlignment="1" applyProtection="1">
      <alignment horizontal="right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1" fontId="0" fillId="3" borderId="8" xfId="0" applyNumberFormat="1" applyFill="1" applyBorder="1" applyAlignment="1" applyProtection="1">
      <alignment horizontal="right"/>
      <protection hidden="1"/>
    </xf>
    <xf numFmtId="4" fontId="0" fillId="3" borderId="51" xfId="0" applyNumberFormat="1" applyFill="1" applyBorder="1" applyAlignment="1" applyProtection="1">
      <alignment horizontal="right"/>
      <protection hidden="1"/>
    </xf>
    <xf numFmtId="0" fontId="12" fillId="2" borderId="52" xfId="0" applyFont="1" applyFill="1" applyBorder="1" applyAlignment="1" applyProtection="1">
      <alignment horizontal="right" vertical="center"/>
      <protection hidden="1"/>
    </xf>
    <xf numFmtId="0" fontId="12" fillId="2" borderId="47" xfId="0" applyFont="1" applyFill="1" applyBorder="1" applyAlignment="1" applyProtection="1">
      <alignment horizontal="right" vertical="center"/>
      <protection hidden="1"/>
    </xf>
    <xf numFmtId="0" fontId="12" fillId="2" borderId="1" xfId="0" applyFont="1" applyFill="1" applyBorder="1" applyAlignment="1" applyProtection="1">
      <alignment horizontal="right" vertical="center"/>
      <protection hidden="1"/>
    </xf>
    <xf numFmtId="0" fontId="0" fillId="0" borderId="0" xfId="0" applyFont="1" applyAlignment="1">
      <alignment wrapText="1"/>
    </xf>
    <xf numFmtId="0" fontId="12" fillId="2" borderId="30" xfId="0" applyFont="1" applyFill="1" applyBorder="1" applyAlignment="1" applyProtection="1">
      <alignment horizontal="right" vertical="center"/>
      <protection locked="0" hidden="1"/>
    </xf>
    <xf numFmtId="0" fontId="12" fillId="2" borderId="12" xfId="0" applyFont="1" applyFill="1" applyBorder="1" applyAlignment="1" applyProtection="1">
      <alignment horizontal="right" vertical="center"/>
      <protection locked="0" hidden="1"/>
    </xf>
    <xf numFmtId="0" fontId="12" fillId="2" borderId="41" xfId="0" applyFont="1" applyFill="1" applyBorder="1" applyAlignment="1" applyProtection="1">
      <alignment horizontal="right" vertical="center"/>
      <protection locked="0" hidden="1"/>
    </xf>
    <xf numFmtId="0" fontId="0" fillId="0" borderId="1" xfId="0" applyBorder="1" applyAlignment="1" applyProtection="1">
      <alignment horizontal="right" vertical="center"/>
      <protection locked="0" hidden="1"/>
    </xf>
    <xf numFmtId="4" fontId="0" fillId="4" borderId="31" xfId="0" applyNumberFormat="1" applyFill="1" applyBorder="1" applyAlignment="1" applyProtection="1">
      <alignment horizontal="right"/>
      <protection locked="0" hidden="1"/>
    </xf>
    <xf numFmtId="4" fontId="0" fillId="4" borderId="12" xfId="0" applyNumberFormat="1" applyFill="1" applyBorder="1" applyAlignment="1" applyProtection="1">
      <alignment horizontal="right"/>
      <protection locked="0" hidden="1"/>
    </xf>
    <xf numFmtId="0" fontId="1" fillId="6" borderId="33" xfId="0" applyFont="1" applyFill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left"/>
      <protection hidden="1"/>
    </xf>
    <xf numFmtId="4" fontId="0" fillId="4" borderId="31" xfId="0" applyNumberFormat="1" applyFill="1" applyBorder="1" applyAlignment="1" applyProtection="1">
      <alignment horizontal="right"/>
      <protection hidden="1"/>
    </xf>
    <xf numFmtId="4" fontId="0" fillId="4" borderId="12" xfId="0" applyNumberFormat="1" applyFill="1" applyBorder="1" applyAlignment="1" applyProtection="1">
      <alignment horizontal="right"/>
      <protection hidden="1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top" wrapText="1"/>
    </xf>
    <xf numFmtId="0" fontId="6" fillId="0" borderId="65" xfId="0" applyFont="1" applyBorder="1" applyAlignment="1">
      <alignment horizontal="center" vertical="top" wrapText="1"/>
    </xf>
  </cellXfs>
  <cellStyles count="2">
    <cellStyle name="Hypertextový odkaz" xfId="1" builtinId="8"/>
    <cellStyle name="Normální" xfId="0" builtinId="0"/>
  </cellStyles>
  <dxfs count="13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1</xdr:row>
      <xdr:rowOff>28575</xdr:rowOff>
    </xdr:from>
    <xdr:to>
      <xdr:col>6</xdr:col>
      <xdr:colOff>359709</xdr:colOff>
      <xdr:row>3</xdr:row>
      <xdr:rowOff>175372</xdr:rowOff>
    </xdr:to>
    <xdr:pic>
      <xdr:nvPicPr>
        <xdr:cNvPr id="2" name="Picture 3" descr="logoCTep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228600"/>
          <a:ext cx="797859" cy="5277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523875</xdr:colOff>
      <xdr:row>1</xdr:row>
      <xdr:rowOff>133350</xdr:rowOff>
    </xdr:from>
    <xdr:to>
      <xdr:col>30</xdr:col>
      <xdr:colOff>128057</xdr:colOff>
      <xdr:row>14</xdr:row>
      <xdr:rowOff>123825</xdr:rowOff>
    </xdr:to>
    <xdr:pic>
      <xdr:nvPicPr>
        <xdr:cNvPr id="2" name="Obrázek 3" descr="http://energetika.tzb-info.cz/docu/clanky/0082/008257o3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706975" y="390525"/>
          <a:ext cx="4257675" cy="2514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sketeplo.cz/files/elmost2022.pdf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0"/>
  <sheetViews>
    <sheetView tabSelected="1" zoomScaleNormal="100" workbookViewId="0">
      <selection activeCell="C5" sqref="C5:D5"/>
    </sheetView>
  </sheetViews>
  <sheetFormatPr defaultRowHeight="15" x14ac:dyDescent="0.25"/>
  <cols>
    <col min="1" max="1" width="3.140625" customWidth="1"/>
    <col min="2" max="2" width="24.28515625" customWidth="1"/>
    <col min="3" max="4" width="15.42578125" customWidth="1"/>
    <col min="5" max="5" width="8.85546875" customWidth="1"/>
    <col min="6" max="6" width="7.5703125" customWidth="1"/>
    <col min="7" max="7" width="11.42578125" customWidth="1"/>
    <col min="8" max="8" width="8.7109375" customWidth="1"/>
    <col min="9" max="9" width="6" customWidth="1"/>
    <col min="10" max="10" width="7.7109375" customWidth="1"/>
    <col min="15" max="15" width="0" hidden="1" customWidth="1"/>
    <col min="16" max="16" width="3" hidden="1" customWidth="1"/>
    <col min="17" max="19" width="13.7109375" hidden="1" customWidth="1"/>
    <col min="20" max="20" width="13.28515625" hidden="1" customWidth="1"/>
    <col min="21" max="21" width="5.7109375" hidden="1" customWidth="1"/>
    <col min="22" max="22" width="8" hidden="1" customWidth="1"/>
    <col min="23" max="23" width="56.42578125" hidden="1" customWidth="1"/>
    <col min="24" max="24" width="29.7109375" hidden="1" customWidth="1"/>
    <col min="25" max="25" width="34.140625" hidden="1" customWidth="1"/>
    <col min="26" max="26" width="14.140625" hidden="1" customWidth="1"/>
    <col min="27" max="27" width="31.140625" hidden="1" customWidth="1"/>
    <col min="28" max="28" width="15.7109375" hidden="1" customWidth="1"/>
    <col min="29" max="41" width="0" hidden="1" customWidth="1"/>
  </cols>
  <sheetData>
    <row r="1" spans="1:27" ht="15.75" thickBot="1" x14ac:dyDescent="0.3">
      <c r="T1" t="s">
        <v>174</v>
      </c>
      <c r="W1" t="s">
        <v>71</v>
      </c>
    </row>
    <row r="2" spans="1:27" x14ac:dyDescent="0.25">
      <c r="B2" s="25" t="s">
        <v>1</v>
      </c>
      <c r="C2" s="169" t="s">
        <v>160</v>
      </c>
      <c r="D2" s="170"/>
      <c r="T2" t="s">
        <v>55</v>
      </c>
      <c r="U2">
        <f>IF(C7="PREdistribuce",3,IF(C7="EG.D (E.ON)",2,1))</f>
        <v>2</v>
      </c>
      <c r="W2" t="s">
        <v>72</v>
      </c>
    </row>
    <row r="3" spans="1:27" x14ac:dyDescent="0.25">
      <c r="B3" s="26" t="s">
        <v>53</v>
      </c>
      <c r="C3" s="28" t="s">
        <v>72</v>
      </c>
      <c r="D3" s="29" t="s">
        <v>67</v>
      </c>
      <c r="T3" t="s">
        <v>23</v>
      </c>
      <c r="W3">
        <f>IF(C3="Kategorie D",1,2)</f>
        <v>2</v>
      </c>
    </row>
    <row r="4" spans="1:27" x14ac:dyDescent="0.25">
      <c r="B4" s="26" t="s">
        <v>51</v>
      </c>
      <c r="C4" s="171">
        <v>0.85</v>
      </c>
      <c r="D4" s="172"/>
      <c r="J4" s="2"/>
      <c r="T4" s="2"/>
    </row>
    <row r="5" spans="1:27" x14ac:dyDescent="0.25">
      <c r="B5" s="26" t="s">
        <v>52</v>
      </c>
      <c r="C5" s="171">
        <v>21.34</v>
      </c>
      <c r="D5" s="172"/>
      <c r="E5" s="4" t="str">
        <f>IF(OR(W28,W26),"**","")</f>
        <v/>
      </c>
      <c r="F5" s="27" t="s">
        <v>180</v>
      </c>
      <c r="G5" s="27"/>
      <c r="J5" s="2"/>
      <c r="P5">
        <v>1</v>
      </c>
      <c r="T5" s="2" t="s">
        <v>56</v>
      </c>
      <c r="U5" t="s">
        <v>61</v>
      </c>
      <c r="V5" t="str">
        <f>IF($W$3=1,T5,U5)</f>
        <v>C 01d</v>
      </c>
      <c r="W5" s="14" t="s">
        <v>24</v>
      </c>
      <c r="X5" s="14" t="s">
        <v>24</v>
      </c>
      <c r="Y5" t="str">
        <f>IF($W$3=1,W5,X5)</f>
        <v>jistič do 3x10 A a do 1x25 A včetně</v>
      </c>
      <c r="AA5">
        <f>IF(OR(AND($C$14&lt;=10,$F$14=3),AND($C$14&lt;=25,$F$14=1)),1,0)</f>
        <v>0</v>
      </c>
    </row>
    <row r="6" spans="1:27" x14ac:dyDescent="0.25">
      <c r="B6" s="26" t="s">
        <v>97</v>
      </c>
      <c r="C6" s="173" t="str">
        <f ca="1">INDIRECT(ADDRESS(4+$AA$20,23))</f>
        <v>jistič nad 3x32 A do 3x40 A včetně</v>
      </c>
      <c r="D6" s="174"/>
      <c r="F6" s="151" t="str">
        <f>cenik!$C$2</f>
        <v>Platnost od 1.1.2022</v>
      </c>
      <c r="G6" s="151"/>
      <c r="P6">
        <v>2</v>
      </c>
      <c r="T6" t="s">
        <v>57</v>
      </c>
      <c r="U6" t="s">
        <v>62</v>
      </c>
      <c r="V6" t="str">
        <f t="shared" ref="V6:V14" si="0">IF($W$3=1,T6,U6)</f>
        <v>C 02d</v>
      </c>
      <c r="W6" s="14" t="s">
        <v>25</v>
      </c>
      <c r="X6" s="14" t="s">
        <v>25</v>
      </c>
      <c r="Y6" t="str">
        <f t="shared" ref="Y6:Y14" si="1">IF($W$3=1,W6,X6)</f>
        <v>jistič nad 3x10 A do 3x16 A včetně</v>
      </c>
      <c r="AA6">
        <f>IF(AND($C$14&gt;10,$C$14&lt;=16,$F$14=3),1,0)</f>
        <v>0</v>
      </c>
    </row>
    <row r="7" spans="1:27" x14ac:dyDescent="0.25">
      <c r="B7" s="26" t="s">
        <v>54</v>
      </c>
      <c r="C7" s="164" t="s">
        <v>174</v>
      </c>
      <c r="D7" s="164"/>
      <c r="F7" s="152" t="s">
        <v>166</v>
      </c>
      <c r="G7" s="153"/>
      <c r="P7">
        <v>3</v>
      </c>
      <c r="T7" t="s">
        <v>70</v>
      </c>
      <c r="U7" t="s">
        <v>63</v>
      </c>
      <c r="V7" t="str">
        <f t="shared" si="0"/>
        <v>C 03d</v>
      </c>
      <c r="W7" s="14" t="s">
        <v>26</v>
      </c>
      <c r="X7" s="14" t="s">
        <v>26</v>
      </c>
      <c r="Y7" t="str">
        <f t="shared" si="1"/>
        <v>jistič nad 3x16 A do 3x20 A včetně</v>
      </c>
      <c r="AA7">
        <f>IF(AND($C$14&gt;16,$C$14&lt;=20,$F$14=3),1,0)</f>
        <v>0</v>
      </c>
    </row>
    <row r="8" spans="1:27" hidden="1" x14ac:dyDescent="0.25">
      <c r="B8" s="26" t="s">
        <v>101</v>
      </c>
      <c r="C8" s="164"/>
      <c r="D8" s="164"/>
      <c r="F8" s="152"/>
      <c r="G8" s="153"/>
      <c r="P8">
        <v>4</v>
      </c>
      <c r="T8" t="s">
        <v>58</v>
      </c>
      <c r="U8" t="s">
        <v>64</v>
      </c>
      <c r="V8" t="str">
        <f t="shared" si="0"/>
        <v>C 25d</v>
      </c>
      <c r="W8" s="14" t="s">
        <v>27</v>
      </c>
      <c r="X8" s="14" t="s">
        <v>27</v>
      </c>
      <c r="Y8" t="str">
        <f t="shared" si="1"/>
        <v>jistič nad 3x20 A do 3x25 A včetně</v>
      </c>
      <c r="AA8">
        <f>IF(AND($C$14&gt;20,$C$14&lt;=25,$F$14=3),1,0)</f>
        <v>0</v>
      </c>
    </row>
    <row r="9" spans="1:27" ht="15.75" thickBot="1" x14ac:dyDescent="0.3">
      <c r="B9" s="35" t="s">
        <v>105</v>
      </c>
      <c r="C9" s="165" t="s">
        <v>107</v>
      </c>
      <c r="D9" s="166"/>
      <c r="P9">
        <v>5</v>
      </c>
      <c r="T9" t="s">
        <v>163</v>
      </c>
      <c r="U9" t="s">
        <v>69</v>
      </c>
      <c r="V9" t="str">
        <f t="shared" si="0"/>
        <v>C 26d</v>
      </c>
      <c r="W9" s="14" t="s">
        <v>28</v>
      </c>
      <c r="X9" s="14" t="s">
        <v>28</v>
      </c>
      <c r="Y9" t="str">
        <f t="shared" si="1"/>
        <v>jistič nad 3x25 A do 3x32 A včetně</v>
      </c>
      <c r="AA9">
        <f>IF(AND($C$14&gt;25,$C$14&lt;=32,$F$14=3),1,0)</f>
        <v>0</v>
      </c>
    </row>
    <row r="10" spans="1:27" x14ac:dyDescent="0.25">
      <c r="B10" s="154" t="s">
        <v>110</v>
      </c>
      <c r="C10" s="155"/>
      <c r="D10" s="33">
        <v>3500</v>
      </c>
      <c r="P10">
        <v>6</v>
      </c>
      <c r="T10" t="s">
        <v>134</v>
      </c>
      <c r="U10" t="s">
        <v>175</v>
      </c>
      <c r="V10" t="str">
        <f t="shared" si="0"/>
        <v>C 27d</v>
      </c>
      <c r="W10" s="14" t="s">
        <v>29</v>
      </c>
      <c r="X10" s="14" t="s">
        <v>29</v>
      </c>
      <c r="Y10" t="str">
        <f t="shared" si="1"/>
        <v>jistič nad 3x32 A do 3x40 A včetně</v>
      </c>
      <c r="AA10">
        <f>IF(AND($C$14&gt;32,$C$14&lt;=40,$F$14=3),1,0)</f>
        <v>1</v>
      </c>
    </row>
    <row r="11" spans="1:27" x14ac:dyDescent="0.25">
      <c r="A11" s="1"/>
      <c r="B11" s="154" t="s">
        <v>111</v>
      </c>
      <c r="C11" s="156"/>
      <c r="D11" s="33">
        <v>3100</v>
      </c>
      <c r="E11" s="4" t="str">
        <f>IF(OR(X28,X26),"**","")</f>
        <v/>
      </c>
      <c r="P11">
        <v>7</v>
      </c>
      <c r="T11" t="s">
        <v>59</v>
      </c>
      <c r="U11" t="s">
        <v>65</v>
      </c>
      <c r="V11" t="str">
        <f t="shared" si="0"/>
        <v>C 35d</v>
      </c>
      <c r="W11" s="14" t="s">
        <v>30</v>
      </c>
      <c r="X11" s="14" t="s">
        <v>30</v>
      </c>
      <c r="Y11" t="str">
        <f t="shared" si="1"/>
        <v>jistič nad 3x40 A do 3x50 A včetně</v>
      </c>
      <c r="AA11">
        <f>IF(AND($C$14&gt;40,$C$14&lt;=50,$F$14=3),1,0)</f>
        <v>0</v>
      </c>
    </row>
    <row r="12" spans="1:27" ht="15.75" thickBot="1" x14ac:dyDescent="0.3">
      <c r="A12" s="1" t="s">
        <v>0</v>
      </c>
      <c r="B12" s="161" t="s">
        <v>112</v>
      </c>
      <c r="C12" s="162"/>
      <c r="D12" s="34">
        <v>45</v>
      </c>
      <c r="P12">
        <v>8</v>
      </c>
      <c r="T12" t="s">
        <v>60</v>
      </c>
      <c r="U12" t="s">
        <v>66</v>
      </c>
      <c r="V12" t="str">
        <f t="shared" si="0"/>
        <v>C 45d</v>
      </c>
      <c r="W12" s="14" t="s">
        <v>31</v>
      </c>
      <c r="X12" s="14" t="s">
        <v>31</v>
      </c>
      <c r="Y12" t="str">
        <f t="shared" si="1"/>
        <v>jistič nad 3x50 A do 3x63 A včetně</v>
      </c>
      <c r="AA12">
        <f>IF(AND($C$14&gt;50,$C$14&lt;=63,$F$14=3),1,0)</f>
        <v>0</v>
      </c>
    </row>
    <row r="13" spans="1:27" ht="15.75" thickBot="1" x14ac:dyDescent="0.3">
      <c r="A13" s="1"/>
      <c r="B13" s="163" t="str">
        <f>IF(W32=0,"",W32)</f>
        <v/>
      </c>
      <c r="C13" s="163"/>
      <c r="D13" s="163"/>
      <c r="P13">
        <v>9</v>
      </c>
      <c r="T13" t="s">
        <v>136</v>
      </c>
      <c r="U13" t="s">
        <v>137</v>
      </c>
      <c r="V13" t="str">
        <f t="shared" si="0"/>
        <v>C 46d</v>
      </c>
      <c r="W13" s="14" t="s">
        <v>32</v>
      </c>
      <c r="X13" s="14" t="s">
        <v>32</v>
      </c>
      <c r="Y13" t="str">
        <f t="shared" si="1"/>
        <v>jistič nad 3x63 A do 3x80 A včetně</v>
      </c>
      <c r="AA13">
        <f>IF(AND($C$14&gt;63,$C$14&lt;=80,$F$14=3,OR($W$3=2,$T$18=8)),1,0)</f>
        <v>0</v>
      </c>
    </row>
    <row r="14" spans="1:27" ht="15.75" thickBot="1" x14ac:dyDescent="0.3">
      <c r="A14" s="1"/>
      <c r="B14" s="55" t="s">
        <v>108</v>
      </c>
      <c r="C14" s="57">
        <v>40</v>
      </c>
      <c r="E14" s="55" t="s">
        <v>147</v>
      </c>
      <c r="F14" s="56">
        <v>3</v>
      </c>
      <c r="P14">
        <v>10</v>
      </c>
      <c r="U14" t="s">
        <v>67</v>
      </c>
      <c r="V14" t="str">
        <f t="shared" si="0"/>
        <v>C 55d</v>
      </c>
      <c r="W14" s="14" t="s">
        <v>33</v>
      </c>
      <c r="X14" s="14" t="s">
        <v>33</v>
      </c>
      <c r="Y14" t="str">
        <f t="shared" si="1"/>
        <v>jistič nad 3x80 A do 3x100 A včetně</v>
      </c>
      <c r="AA14">
        <f>IF(AND($C$14&gt;80,$C$14&lt;=100,$F$14=3,OR($W$3=2,$T$18=8)),1,0)</f>
        <v>0</v>
      </c>
    </row>
    <row r="15" spans="1:27" ht="15.75" thickBot="1" x14ac:dyDescent="0.3">
      <c r="A15" s="1"/>
      <c r="C15" s="149" t="s">
        <v>179</v>
      </c>
      <c r="D15" s="150" t="s">
        <v>176</v>
      </c>
      <c r="E15" s="30"/>
      <c r="F15" s="31"/>
      <c r="U15" t="s">
        <v>68</v>
      </c>
      <c r="V15" t="str">
        <f>IF($W$3=1,T15,U15)</f>
        <v>C 56d</v>
      </c>
      <c r="W15" s="14" t="s">
        <v>34</v>
      </c>
      <c r="X15" s="14" t="s">
        <v>34</v>
      </c>
      <c r="Y15" t="str">
        <f>IF($W$3=1,W15,X15)</f>
        <v>jistič nad 3x100 A do 3x125 A včetně</v>
      </c>
      <c r="AA15">
        <f>IF(AND($C$14&gt;100,$C$14&lt;=125,$F$14=3,OR($W$3=2,$T$18=8)),1,0)</f>
        <v>0</v>
      </c>
    </row>
    <row r="16" spans="1:27" ht="15.75" thickBot="1" x14ac:dyDescent="0.3">
      <c r="A16" s="1"/>
      <c r="B16" s="36" t="s">
        <v>87</v>
      </c>
      <c r="C16" s="31"/>
      <c r="D16" s="37" t="s">
        <v>90</v>
      </c>
      <c r="E16" s="159" t="s">
        <v>88</v>
      </c>
      <c r="F16" s="160"/>
      <c r="G16" s="24" t="s">
        <v>129</v>
      </c>
      <c r="T16">
        <f>IFERROR(MATCH($D$3,T$5:T$14,0),0)</f>
        <v>0</v>
      </c>
      <c r="U16">
        <f>IFERROR(MATCH($D$3,U$5:U$15,0),0)</f>
        <v>10</v>
      </c>
      <c r="V16">
        <f>IF($W$3=1,T16,U16)</f>
        <v>10</v>
      </c>
      <c r="W16" s="14" t="s">
        <v>35</v>
      </c>
      <c r="X16" s="14" t="s">
        <v>35</v>
      </c>
      <c r="Y16" t="str">
        <f>IF($W$3=1,W16,X16)</f>
        <v>jistič nad 3x125 A do 3x160 A včetně</v>
      </c>
      <c r="AA16">
        <f>IF(AND($C$14&gt;125,$C$14&lt;=160,$F$14=3,OR($W$3=2,$T$18=8)),1,0)</f>
        <v>0</v>
      </c>
    </row>
    <row r="17" spans="1:28" x14ac:dyDescent="0.25">
      <c r="A17" s="1"/>
      <c r="B17" s="157" t="s">
        <v>99</v>
      </c>
      <c r="C17" s="158"/>
      <c r="D17" s="58">
        <f ca="1">cenik!$B$102</f>
        <v>3100</v>
      </c>
      <c r="E17" s="167">
        <f ca="1">$C$4*cenik!$B$102</f>
        <v>2635</v>
      </c>
      <c r="F17" s="168"/>
      <c r="G17" s="39">
        <v>0</v>
      </c>
      <c r="H17" t="s">
        <v>130</v>
      </c>
      <c r="W17" s="14" t="s">
        <v>50</v>
      </c>
      <c r="X17" s="14" t="s">
        <v>36</v>
      </c>
      <c r="Y17" t="str">
        <f>IF($W$3=1,W17,X17)</f>
        <v>jistič nad 3x160 A za každou 1 A</v>
      </c>
      <c r="AA17">
        <f>IF(AND($T$18&lt;&gt;8,$C$14&gt;63,$F$14=3,$W$3=1),1,0)</f>
        <v>0</v>
      </c>
      <c r="AB17" t="s">
        <v>152</v>
      </c>
    </row>
    <row r="18" spans="1:28" ht="15.75" thickBot="1" x14ac:dyDescent="0.3">
      <c r="A18" s="1"/>
      <c r="B18" s="157" t="s">
        <v>100</v>
      </c>
      <c r="C18" s="158"/>
      <c r="D18" s="58">
        <f ca="1">cenik!$C$129</f>
        <v>2700</v>
      </c>
      <c r="E18" s="167">
        <f ca="1">IF(V26=1,$C$5*cenik!$C$129,0)</f>
        <v>57618</v>
      </c>
      <c r="F18" s="168"/>
      <c r="G18" s="40">
        <v>0</v>
      </c>
      <c r="H18" t="s">
        <v>130</v>
      </c>
      <c r="T18">
        <f>IFERROR(MATCH($D$3,T$5:T$11,0),0)</f>
        <v>0</v>
      </c>
      <c r="U18">
        <f>IFERROR(MATCH($D$3,U$5:U$15,0),0)</f>
        <v>10</v>
      </c>
      <c r="W18" s="14" t="s">
        <v>37</v>
      </c>
      <c r="X18" s="14" t="s">
        <v>37</v>
      </c>
      <c r="Y18" t="str">
        <f>IF($W$3=1,W18,X18)</f>
        <v>jistič nad 1x25 A za každou 1 A</v>
      </c>
      <c r="AA18">
        <f>IF(AND($C$14&gt;25,$F$14=1),1,0)</f>
        <v>0</v>
      </c>
      <c r="AB18" t="s">
        <v>151</v>
      </c>
    </row>
    <row r="19" spans="1:28" x14ac:dyDescent="0.25">
      <c r="A19" s="1"/>
      <c r="B19" s="157" t="s">
        <v>94</v>
      </c>
      <c r="C19" s="195"/>
      <c r="D19" s="59">
        <f ca="1">cenik!$B$103</f>
        <v>29</v>
      </c>
      <c r="E19" s="191">
        <f ca="1">cenik!$B$103*12</f>
        <v>348</v>
      </c>
      <c r="F19" s="191"/>
      <c r="W19" s="14" t="s">
        <v>36</v>
      </c>
      <c r="Y19" t="str">
        <f>IF($W$3=1,W19,"")</f>
        <v/>
      </c>
      <c r="AA19">
        <f>IF(AND($F$14=3,$C$14&gt;160,OR($T$18=8,$W$3=2)),1,0)</f>
        <v>0</v>
      </c>
      <c r="AB19" t="s">
        <v>153</v>
      </c>
    </row>
    <row r="20" spans="1:28" ht="15.75" thickBot="1" x14ac:dyDescent="0.3">
      <c r="A20" s="1"/>
      <c r="B20" s="31"/>
      <c r="C20" s="31"/>
      <c r="D20" s="31"/>
      <c r="E20" s="31"/>
      <c r="F20" s="31"/>
      <c r="W20">
        <f ca="1">IFERROR(MATCH($C$6,W$5:W$18,0),0)</f>
        <v>6</v>
      </c>
      <c r="X20">
        <f ca="1">IFERROR(MATCH($C$6,X$5:X$18,0),0)</f>
        <v>6</v>
      </c>
      <c r="AA20">
        <f>IFERROR(MATCH(1,AA$5:AA$19,0),0)</f>
        <v>6</v>
      </c>
    </row>
    <row r="21" spans="1:28" ht="15.75" thickBot="1" x14ac:dyDescent="0.3">
      <c r="A21" s="1"/>
      <c r="B21" s="36" t="s">
        <v>98</v>
      </c>
      <c r="C21" s="30"/>
      <c r="D21" s="30"/>
      <c r="E21" s="30"/>
      <c r="F21" s="31"/>
      <c r="V21" t="s">
        <v>154</v>
      </c>
      <c r="W21">
        <f>IF(OR(AA17=1,AA18=1,AA19=1),1,0)</f>
        <v>0</v>
      </c>
    </row>
    <row r="22" spans="1:28" x14ac:dyDescent="0.25">
      <c r="A22" s="1"/>
      <c r="B22" s="178" t="s">
        <v>91</v>
      </c>
      <c r="C22" s="158"/>
      <c r="D22" s="60">
        <f ca="1">IF(W21=0,cenik!$B$127,cenik!$B$127*C14)</f>
        <v>1446</v>
      </c>
      <c r="E22" s="179">
        <f ca="1">IF(W21=0,cenik!$B$127*12,D22*12)</f>
        <v>17352</v>
      </c>
      <c r="F22" s="179"/>
      <c r="H22" s="5"/>
      <c r="I22" s="5"/>
      <c r="J22" s="5"/>
      <c r="K22" s="5"/>
      <c r="T22" t="s">
        <v>107</v>
      </c>
      <c r="U22">
        <f>IF(C9="ANO",1,2)</f>
        <v>1</v>
      </c>
      <c r="V22">
        <f ca="1">cenik!$B$127</f>
        <v>1446</v>
      </c>
    </row>
    <row r="23" spans="1:28" x14ac:dyDescent="0.25">
      <c r="B23" s="178" t="s">
        <v>92</v>
      </c>
      <c r="C23" s="158"/>
      <c r="D23" s="60">
        <f ca="1">cenik!$B$120</f>
        <v>257.97000000000003</v>
      </c>
      <c r="E23" s="179">
        <f ca="1">cenik!$B$120*$C$4</f>
        <v>219.27450000000002</v>
      </c>
      <c r="F23" s="179"/>
      <c r="G23" s="5"/>
      <c r="H23" s="5"/>
      <c r="I23" s="5"/>
      <c r="J23" s="5"/>
      <c r="K23" s="5"/>
      <c r="T23" t="s">
        <v>106</v>
      </c>
    </row>
    <row r="24" spans="1:28" x14ac:dyDescent="0.25">
      <c r="B24" s="178" t="s">
        <v>93</v>
      </c>
      <c r="C24" s="158"/>
      <c r="D24" s="60">
        <f ca="1">cenik!$B$121</f>
        <v>189.26</v>
      </c>
      <c r="E24" s="179">
        <f ca="1">cenik!$B$121*$C$5</f>
        <v>4038.8083999999999</v>
      </c>
      <c r="F24" s="179"/>
      <c r="G24" s="5"/>
      <c r="H24" s="5"/>
      <c r="I24" s="5"/>
      <c r="J24" s="5"/>
      <c r="K24" s="5"/>
      <c r="N24" s="6"/>
      <c r="T24" t="s">
        <v>146</v>
      </c>
    </row>
    <row r="25" spans="1:28" ht="15.75" thickBot="1" x14ac:dyDescent="0.3">
      <c r="B25" s="193" t="s">
        <v>96</v>
      </c>
      <c r="C25" s="194"/>
      <c r="D25" s="61">
        <f ca="1">cenik!$B$122</f>
        <v>113.53</v>
      </c>
      <c r="E25" s="192">
        <f ca="1">cenik!$B$122*($C$4+$C$5)</f>
        <v>2519.2307000000001</v>
      </c>
      <c r="F25" s="192"/>
      <c r="G25" s="5"/>
      <c r="H25" s="5"/>
      <c r="I25" s="5"/>
      <c r="J25" s="5"/>
      <c r="K25" s="5"/>
      <c r="N25" s="6"/>
      <c r="T25">
        <v>1</v>
      </c>
      <c r="V25" t="s">
        <v>118</v>
      </c>
      <c r="W25" t="s">
        <v>119</v>
      </c>
      <c r="X25" t="s">
        <v>120</v>
      </c>
      <c r="Y25" t="s">
        <v>150</v>
      </c>
    </row>
    <row r="26" spans="1:28" ht="15.75" thickBot="1" x14ac:dyDescent="0.3">
      <c r="B26" s="182" t="s">
        <v>95</v>
      </c>
      <c r="C26" s="183"/>
      <c r="D26" s="62">
        <f ca="1">cenik!$B$123</f>
        <v>495</v>
      </c>
      <c r="E26" s="184">
        <f ca="1">cenik!$B$123*($C$4+$C$5)</f>
        <v>10984.050000000001</v>
      </c>
      <c r="F26" s="185"/>
      <c r="G26" s="5" t="s">
        <v>155</v>
      </c>
      <c r="H26" s="5"/>
      <c r="I26" s="5"/>
      <c r="J26" s="5"/>
      <c r="K26" s="5"/>
      <c r="N26" s="6"/>
      <c r="T26">
        <v>3</v>
      </c>
      <c r="V26">
        <f>IF(OR(T16=1,T16=2,U16=1,U16=2,U16=3),0,1)</f>
        <v>1</v>
      </c>
      <c r="W26" t="b">
        <f>AND(C5&lt;&gt;0,V26=0)</f>
        <v>0</v>
      </c>
      <c r="X26" t="b">
        <f>AND(D11&lt;&gt;0,V26=0)</f>
        <v>0</v>
      </c>
      <c r="Y26">
        <f>IF(AND($T$18&lt;&gt;8,$C$14&gt;63,$F$14=3,$W$3=1),1,0)</f>
        <v>0</v>
      </c>
    </row>
    <row r="27" spans="1:28" ht="15.75" thickBot="1" x14ac:dyDescent="0.3">
      <c r="B27" s="175" t="s">
        <v>156</v>
      </c>
      <c r="C27" s="176"/>
      <c r="D27" s="63">
        <f ca="1">cenik!$B$124</f>
        <v>11.84</v>
      </c>
      <c r="E27" s="188">
        <f ca="1">D27*F14*C14*12</f>
        <v>17049.599999999999</v>
      </c>
      <c r="F27" s="189"/>
      <c r="G27" s="64">
        <f ca="1">IF(E26&lt;E27,E26,E27)</f>
        <v>10984.050000000001</v>
      </c>
      <c r="H27" s="5"/>
      <c r="I27" s="7"/>
      <c r="J27" s="5"/>
      <c r="K27" s="5"/>
      <c r="N27" s="6"/>
      <c r="T27" s="3"/>
      <c r="W27" t="s">
        <v>121</v>
      </c>
      <c r="X27" t="s">
        <v>122</v>
      </c>
      <c r="Y27" t="s">
        <v>149</v>
      </c>
    </row>
    <row r="28" spans="1:28" x14ac:dyDescent="0.25">
      <c r="B28" s="157" t="s">
        <v>161</v>
      </c>
      <c r="C28" s="177"/>
      <c r="D28" s="58">
        <f ca="1">cenik!$B$125</f>
        <v>4.2</v>
      </c>
      <c r="E28" s="167">
        <f ca="1">cenik!$B$125*(12)</f>
        <v>50.400000000000006</v>
      </c>
      <c r="F28" s="167"/>
      <c r="G28" s="5"/>
      <c r="H28" s="5"/>
      <c r="I28" s="8"/>
      <c r="J28" s="5"/>
      <c r="K28" s="5"/>
      <c r="N28" s="6"/>
      <c r="T28" s="3"/>
      <c r="W28" t="b">
        <f>AND(C5=0,V26=1)</f>
        <v>0</v>
      </c>
      <c r="X28" t="b">
        <f>AND(D11=0,V26=1)</f>
        <v>0</v>
      </c>
      <c r="Y28">
        <f>IF(AND($C$14&gt;25,$F$14=1),1,0)</f>
        <v>0</v>
      </c>
    </row>
    <row r="29" spans="1:28" x14ac:dyDescent="0.25">
      <c r="B29" s="178" t="s">
        <v>104</v>
      </c>
      <c r="C29" s="190"/>
      <c r="D29" s="60">
        <f>28.3</f>
        <v>28.3</v>
      </c>
      <c r="E29" s="179">
        <f>IF($U$22=1,($D$29*($C$4+$C$5)),0)</f>
        <v>627.97700000000009</v>
      </c>
      <c r="F29" s="179"/>
      <c r="G29" s="5"/>
      <c r="H29" s="5"/>
      <c r="I29" s="8"/>
      <c r="J29" s="5"/>
      <c r="K29" s="5"/>
      <c r="Y29" t="s">
        <v>148</v>
      </c>
    </row>
    <row r="30" spans="1:28" s="5" customFormat="1" ht="15.75" thickBot="1" x14ac:dyDescent="0.3">
      <c r="B30" s="38"/>
      <c r="C30" s="38"/>
      <c r="D30" s="38"/>
      <c r="E30" s="38"/>
      <c r="F30" s="38"/>
      <c r="I30" s="8"/>
      <c r="L30"/>
      <c r="M30"/>
      <c r="N30"/>
      <c r="W30" s="5">
        <f>IF(OR(W26,W28),1,0)</f>
        <v>0</v>
      </c>
      <c r="Y30">
        <f>IF(AND($T$18=8,$C$14&gt;180,$F$14=3),1,0)</f>
        <v>0</v>
      </c>
    </row>
    <row r="31" spans="1:28" ht="15.75" thickBot="1" x14ac:dyDescent="0.3">
      <c r="B31" s="180" t="s">
        <v>103</v>
      </c>
      <c r="C31" s="181"/>
      <c r="D31" s="31"/>
      <c r="E31" s="186">
        <f ca="1">(E17+E18+E19+E22+E23+E24+E25+G27+E28+E29)</f>
        <v>96392.74059999999</v>
      </c>
      <c r="F31" s="187"/>
      <c r="G31" s="5"/>
      <c r="H31" s="5"/>
      <c r="I31" s="8"/>
      <c r="J31" s="5"/>
      <c r="K31" s="5"/>
      <c r="T31" s="3"/>
    </row>
    <row r="32" spans="1:28" ht="15.75" thickBot="1" x14ac:dyDescent="0.3">
      <c r="B32" s="31"/>
      <c r="C32" s="31"/>
      <c r="D32" s="31"/>
      <c r="E32" s="31"/>
      <c r="F32" s="31"/>
      <c r="G32" s="5"/>
      <c r="H32" s="5"/>
      <c r="I32" s="5"/>
      <c r="J32" s="5"/>
      <c r="K32" s="5"/>
      <c r="W32">
        <f>IF(V26,IF(AND(W28,X28),W34,IF(W28,W36,IF(X28,W35,0))),IF(AND(W26,X26),W37,IF(W26,W39,IF(X26,W38,0))))</f>
        <v>0</v>
      </c>
    </row>
    <row r="33" spans="2:23" ht="15.75" thickBot="1" x14ac:dyDescent="0.3">
      <c r="B33" s="180" t="s">
        <v>102</v>
      </c>
      <c r="C33" s="181"/>
      <c r="D33" s="31"/>
      <c r="E33" s="186">
        <f ca="1">E31*1.21</f>
        <v>116635.21612599998</v>
      </c>
      <c r="F33" s="187"/>
      <c r="G33" s="5"/>
      <c r="H33" s="5"/>
      <c r="I33" s="5"/>
      <c r="J33" s="5"/>
      <c r="K33" s="5"/>
      <c r="P33" s="5"/>
      <c r="Q33" s="5"/>
      <c r="R33" s="5"/>
      <c r="S33" s="5"/>
    </row>
    <row r="34" spans="2:23" ht="15.75" thickBot="1" x14ac:dyDescent="0.3">
      <c r="B34" s="31"/>
      <c r="C34" s="31"/>
      <c r="D34" s="31"/>
      <c r="E34" s="31"/>
      <c r="F34" s="31"/>
      <c r="T34" s="3"/>
      <c r="V34">
        <v>1</v>
      </c>
      <c r="W34" t="s">
        <v>128</v>
      </c>
    </row>
    <row r="35" spans="2:23" ht="15.75" thickBot="1" x14ac:dyDescent="0.3">
      <c r="B35" s="180" t="s">
        <v>109</v>
      </c>
      <c r="C35" s="181"/>
      <c r="D35" s="31"/>
      <c r="E35" s="186">
        <f ca="1">ROUND(($E$33/12),-2)</f>
        <v>9700</v>
      </c>
      <c r="F35" s="187"/>
      <c r="G35" t="s">
        <v>131</v>
      </c>
      <c r="H35" s="49"/>
      <c r="V35">
        <v>2</v>
      </c>
      <c r="W35" t="s">
        <v>127</v>
      </c>
    </row>
    <row r="36" spans="2:23" ht="15.75" thickBot="1" x14ac:dyDescent="0.3">
      <c r="B36" s="31"/>
      <c r="C36" s="31"/>
      <c r="D36" s="31"/>
      <c r="E36" s="31"/>
      <c r="F36" s="31"/>
      <c r="P36" s="5"/>
      <c r="Q36" s="5"/>
      <c r="R36" s="5"/>
      <c r="S36" s="5"/>
      <c r="V36">
        <v>3</v>
      </c>
      <c r="W36" t="s">
        <v>126</v>
      </c>
    </row>
    <row r="37" spans="2:23" s="32" customFormat="1" ht="16.5" thickBot="1" x14ac:dyDescent="0.3">
      <c r="B37" s="41" t="s">
        <v>116</v>
      </c>
      <c r="C37" s="42"/>
      <c r="D37" s="43"/>
      <c r="E37" s="43"/>
      <c r="F37" s="43"/>
      <c r="T37" s="44"/>
      <c r="V37" s="32">
        <v>4</v>
      </c>
      <c r="W37" s="32" t="s">
        <v>125</v>
      </c>
    </row>
    <row r="38" spans="2:23" s="32" customFormat="1" x14ac:dyDescent="0.25">
      <c r="B38" s="199" t="s">
        <v>113</v>
      </c>
      <c r="C38" s="200"/>
      <c r="D38" s="43"/>
      <c r="E38" s="201">
        <f ca="1">(D10*C4) - E17</f>
        <v>340</v>
      </c>
      <c r="F38" s="202"/>
      <c r="V38" s="32">
        <v>5</v>
      </c>
      <c r="W38" s="32" t="s">
        <v>124</v>
      </c>
    </row>
    <row r="39" spans="2:23" s="32" customFormat="1" x14ac:dyDescent="0.25">
      <c r="B39" s="197" t="s">
        <v>114</v>
      </c>
      <c r="C39" s="198"/>
      <c r="D39" s="43"/>
      <c r="E39" s="201">
        <f ca="1">IF(V26=1,(D11*C5)-E18,0)</f>
        <v>8536</v>
      </c>
      <c r="F39" s="202"/>
      <c r="G39" s="45"/>
      <c r="V39" s="32">
        <v>6</v>
      </c>
      <c r="W39" s="32" t="s">
        <v>123</v>
      </c>
    </row>
    <row r="40" spans="2:23" s="32" customFormat="1" x14ac:dyDescent="0.25">
      <c r="B40" s="197" t="s">
        <v>115</v>
      </c>
      <c r="C40" s="198"/>
      <c r="D40" s="46"/>
      <c r="E40" s="201">
        <f ca="1">(D12*12)-E19</f>
        <v>192</v>
      </c>
      <c r="F40" s="202"/>
      <c r="G40" s="45"/>
    </row>
    <row r="41" spans="2:23" ht="15.75" thickBot="1" x14ac:dyDescent="0.3">
      <c r="B41" s="31"/>
      <c r="C41" s="31"/>
      <c r="D41" s="31"/>
      <c r="E41" s="31"/>
      <c r="F41" s="31"/>
      <c r="G41" s="6"/>
    </row>
    <row r="42" spans="2:23" ht="15.75" thickBot="1" x14ac:dyDescent="0.3">
      <c r="B42" s="203" t="s">
        <v>117</v>
      </c>
      <c r="C42" s="204"/>
      <c r="D42" s="31"/>
      <c r="E42" s="205">
        <f ca="1">(E38+E39+E40)*1.21</f>
        <v>10972.279999999999</v>
      </c>
      <c r="F42" s="206"/>
      <c r="G42" s="6"/>
    </row>
    <row r="43" spans="2:23" x14ac:dyDescent="0.25">
      <c r="G43" s="6"/>
    </row>
    <row r="44" spans="2:23" x14ac:dyDescent="0.25">
      <c r="B44" t="s">
        <v>157</v>
      </c>
      <c r="G44" s="6"/>
    </row>
    <row r="45" spans="2:23" x14ac:dyDescent="0.25">
      <c r="B45" t="s">
        <v>158</v>
      </c>
      <c r="G45" s="6"/>
    </row>
    <row r="46" spans="2:23" ht="29.25" customHeight="1" x14ac:dyDescent="0.25">
      <c r="B46" s="196" t="s">
        <v>159</v>
      </c>
      <c r="C46" s="196"/>
      <c r="D46" s="196"/>
      <c r="E46" s="196"/>
      <c r="F46" s="196"/>
    </row>
    <row r="100" spans="27:27" x14ac:dyDescent="0.25">
      <c r="AA100" s="9" t="s">
        <v>2</v>
      </c>
    </row>
  </sheetData>
  <mergeCells count="51">
    <mergeCell ref="B46:F46"/>
    <mergeCell ref="B40:C40"/>
    <mergeCell ref="B38:C38"/>
    <mergeCell ref="E38:F38"/>
    <mergeCell ref="E40:F40"/>
    <mergeCell ref="B42:C42"/>
    <mergeCell ref="E42:F42"/>
    <mergeCell ref="B39:C39"/>
    <mergeCell ref="E39:F39"/>
    <mergeCell ref="E18:F18"/>
    <mergeCell ref="E19:F19"/>
    <mergeCell ref="E25:F25"/>
    <mergeCell ref="B25:C25"/>
    <mergeCell ref="E24:F24"/>
    <mergeCell ref="B24:C24"/>
    <mergeCell ref="E22:F22"/>
    <mergeCell ref="B18:C18"/>
    <mergeCell ref="B19:C19"/>
    <mergeCell ref="B22:C22"/>
    <mergeCell ref="B27:C27"/>
    <mergeCell ref="B28:C28"/>
    <mergeCell ref="B23:C23"/>
    <mergeCell ref="E23:F23"/>
    <mergeCell ref="B35:C35"/>
    <mergeCell ref="B26:C26"/>
    <mergeCell ref="E26:F26"/>
    <mergeCell ref="E35:F35"/>
    <mergeCell ref="E33:F33"/>
    <mergeCell ref="E27:F27"/>
    <mergeCell ref="E28:F28"/>
    <mergeCell ref="B31:C31"/>
    <mergeCell ref="E31:F31"/>
    <mergeCell ref="B33:C33"/>
    <mergeCell ref="B29:C29"/>
    <mergeCell ref="E29:F29"/>
    <mergeCell ref="C2:D2"/>
    <mergeCell ref="C5:D5"/>
    <mergeCell ref="C6:D6"/>
    <mergeCell ref="C7:D7"/>
    <mergeCell ref="C4:D4"/>
    <mergeCell ref="F7:G7"/>
    <mergeCell ref="F8:G8"/>
    <mergeCell ref="B10:C10"/>
    <mergeCell ref="B11:C11"/>
    <mergeCell ref="B17:C17"/>
    <mergeCell ref="E16:F16"/>
    <mergeCell ref="B12:C12"/>
    <mergeCell ref="B13:D13"/>
    <mergeCell ref="C8:D8"/>
    <mergeCell ref="C9:D9"/>
    <mergeCell ref="E17:F17"/>
  </mergeCells>
  <conditionalFormatting sqref="J12:J24 K12:L23 O21:Q24 W19:X19 T17:V20 U5:U15 T9:T14">
    <cfRule type="expression" dxfId="138" priority="219">
      <formula>"L18=1"</formula>
    </cfRule>
  </conditionalFormatting>
  <conditionalFormatting sqref="C5:D5">
    <cfRule type="expression" dxfId="137" priority="138">
      <formula>$V$26&lt;1</formula>
    </cfRule>
  </conditionalFormatting>
  <conditionalFormatting sqref="D11">
    <cfRule type="expression" dxfId="136" priority="137">
      <formula>$V$26&lt;1</formula>
    </cfRule>
  </conditionalFormatting>
  <conditionalFormatting sqref="E39:F39">
    <cfRule type="cellIs" dxfId="135" priority="136" operator="lessThan">
      <formula>0</formula>
    </cfRule>
  </conditionalFormatting>
  <conditionalFormatting sqref="E38:F38">
    <cfRule type="cellIs" dxfId="134" priority="135" operator="lessThan">
      <formula>0</formula>
    </cfRule>
  </conditionalFormatting>
  <conditionalFormatting sqref="E40:F40">
    <cfRule type="cellIs" dxfId="133" priority="134" operator="lessThan">
      <formula>0</formula>
    </cfRule>
  </conditionalFormatting>
  <conditionalFormatting sqref="E42:F42">
    <cfRule type="cellIs" dxfId="132" priority="132" operator="greaterThan">
      <formula>0</formula>
    </cfRule>
    <cfRule type="cellIs" dxfId="131" priority="133" operator="lessThan">
      <formula>0</formula>
    </cfRule>
  </conditionalFormatting>
  <conditionalFormatting sqref="E38:F40">
    <cfRule type="cellIs" dxfId="130" priority="130" operator="greaterThan">
      <formula>0</formula>
    </cfRule>
    <cfRule type="cellIs" dxfId="129" priority="131" operator="lessThan">
      <formula>0</formula>
    </cfRule>
  </conditionalFormatting>
  <conditionalFormatting sqref="B13:D13">
    <cfRule type="expression" dxfId="128" priority="129">
      <formula>$B$13&lt;&gt;""</formula>
    </cfRule>
  </conditionalFormatting>
  <conditionalFormatting sqref="T10">
    <cfRule type="expression" dxfId="127" priority="128">
      <formula>"L18=1"</formula>
    </cfRule>
  </conditionalFormatting>
  <conditionalFormatting sqref="T11">
    <cfRule type="expression" dxfId="126" priority="127">
      <formula>"L18=1"</formula>
    </cfRule>
  </conditionalFormatting>
  <conditionalFormatting sqref="T11">
    <cfRule type="expression" dxfId="125" priority="126">
      <formula>"L18=1"</formula>
    </cfRule>
  </conditionalFormatting>
  <conditionalFormatting sqref="T12">
    <cfRule type="expression" dxfId="124" priority="125">
      <formula>"L18=1"</formula>
    </cfRule>
  </conditionalFormatting>
  <conditionalFormatting sqref="T9">
    <cfRule type="expression" dxfId="123" priority="124">
      <formula>"L18=1"</formula>
    </cfRule>
  </conditionalFormatting>
  <conditionalFormatting sqref="T10">
    <cfRule type="expression" dxfId="122" priority="123">
      <formula>"L18=1"</formula>
    </cfRule>
  </conditionalFormatting>
  <conditionalFormatting sqref="T10">
    <cfRule type="expression" dxfId="121" priority="122">
      <formula>"L18=1"</formula>
    </cfRule>
  </conditionalFormatting>
  <conditionalFormatting sqref="T11">
    <cfRule type="expression" dxfId="120" priority="121">
      <formula>"L18=1"</formula>
    </cfRule>
  </conditionalFormatting>
  <conditionalFormatting sqref="T15:U15">
    <cfRule type="expression" dxfId="119" priority="120">
      <formula>"L18=1"</formula>
    </cfRule>
  </conditionalFormatting>
  <conditionalFormatting sqref="X20">
    <cfRule type="expression" dxfId="118" priority="119">
      <formula>"L18=1"</formula>
    </cfRule>
  </conditionalFormatting>
  <conditionalFormatting sqref="W20">
    <cfRule type="expression" dxfId="117" priority="118">
      <formula>"L18=1"</formula>
    </cfRule>
  </conditionalFormatting>
  <conditionalFormatting sqref="AA20">
    <cfRule type="expression" dxfId="116" priority="117">
      <formula>"L18=1"</formula>
    </cfRule>
  </conditionalFormatting>
  <conditionalFormatting sqref="G22">
    <cfRule type="expression" dxfId="115" priority="116">
      <formula>"L18=1"</formula>
    </cfRule>
  </conditionalFormatting>
  <conditionalFormatting sqref="G6">
    <cfRule type="expression" dxfId="114" priority="115">
      <formula>"L18=1"</formula>
    </cfRule>
  </conditionalFormatting>
  <conditionalFormatting sqref="T11">
    <cfRule type="expression" dxfId="113" priority="114">
      <formula>"L18=1"</formula>
    </cfRule>
  </conditionalFormatting>
  <conditionalFormatting sqref="T12">
    <cfRule type="expression" dxfId="112" priority="113">
      <formula>"L18=1"</formula>
    </cfRule>
  </conditionalFormatting>
  <conditionalFormatting sqref="T12">
    <cfRule type="expression" dxfId="111" priority="112">
      <formula>"L18=1"</formula>
    </cfRule>
  </conditionalFormatting>
  <conditionalFormatting sqref="T10">
    <cfRule type="expression" dxfId="110" priority="111">
      <formula>"L18=1"</formula>
    </cfRule>
  </conditionalFormatting>
  <conditionalFormatting sqref="T11">
    <cfRule type="expression" dxfId="109" priority="110">
      <formula>"L18=1"</formula>
    </cfRule>
  </conditionalFormatting>
  <conditionalFormatting sqref="T11">
    <cfRule type="expression" dxfId="108" priority="109">
      <formula>"L18=1"</formula>
    </cfRule>
  </conditionalFormatting>
  <conditionalFormatting sqref="T12">
    <cfRule type="expression" dxfId="107" priority="108">
      <formula>"L18=1"</formula>
    </cfRule>
  </conditionalFormatting>
  <conditionalFormatting sqref="T11">
    <cfRule type="expression" dxfId="106" priority="107">
      <formula>"L18=1"</formula>
    </cfRule>
  </conditionalFormatting>
  <conditionalFormatting sqref="T12">
    <cfRule type="expression" dxfId="105" priority="106">
      <formula>"L18=1"</formula>
    </cfRule>
  </conditionalFormatting>
  <conditionalFormatting sqref="T12">
    <cfRule type="expression" dxfId="104" priority="105">
      <formula>"L18=1"</formula>
    </cfRule>
  </conditionalFormatting>
  <conditionalFormatting sqref="T13">
    <cfRule type="expression" dxfId="103" priority="104">
      <formula>"L18=1"</formula>
    </cfRule>
  </conditionalFormatting>
  <conditionalFormatting sqref="T10">
    <cfRule type="expression" dxfId="102" priority="103">
      <formula>"L18=1"</formula>
    </cfRule>
  </conditionalFormatting>
  <conditionalFormatting sqref="T11">
    <cfRule type="expression" dxfId="101" priority="102">
      <formula>"L18=1"</formula>
    </cfRule>
  </conditionalFormatting>
  <conditionalFormatting sqref="T11">
    <cfRule type="expression" dxfId="100" priority="101">
      <formula>"L18=1"</formula>
    </cfRule>
  </conditionalFormatting>
  <conditionalFormatting sqref="T12">
    <cfRule type="expression" dxfId="99" priority="100">
      <formula>"L18=1"</formula>
    </cfRule>
  </conditionalFormatting>
  <conditionalFormatting sqref="T12">
    <cfRule type="expression" dxfId="98" priority="99">
      <formula>"L18=1"</formula>
    </cfRule>
  </conditionalFormatting>
  <conditionalFormatting sqref="T13">
    <cfRule type="expression" dxfId="97" priority="98">
      <formula>"L18=1"</formula>
    </cfRule>
  </conditionalFormatting>
  <conditionalFormatting sqref="T13">
    <cfRule type="expression" dxfId="96" priority="97">
      <formula>"L18=1"</formula>
    </cfRule>
  </conditionalFormatting>
  <conditionalFormatting sqref="T11">
    <cfRule type="expression" dxfId="95" priority="96">
      <formula>"L18=1"</formula>
    </cfRule>
  </conditionalFormatting>
  <conditionalFormatting sqref="T12">
    <cfRule type="expression" dxfId="94" priority="95">
      <formula>"L18=1"</formula>
    </cfRule>
  </conditionalFormatting>
  <conditionalFormatting sqref="T12">
    <cfRule type="expression" dxfId="93" priority="94">
      <formula>"L18=1"</formula>
    </cfRule>
  </conditionalFormatting>
  <conditionalFormatting sqref="T13">
    <cfRule type="expression" dxfId="92" priority="93">
      <formula>"L18=1"</formula>
    </cfRule>
  </conditionalFormatting>
  <conditionalFormatting sqref="T11">
    <cfRule type="expression" dxfId="91" priority="92">
      <formula>"L18=1"</formula>
    </cfRule>
  </conditionalFormatting>
  <conditionalFormatting sqref="T12">
    <cfRule type="expression" dxfId="90" priority="91">
      <formula>"L18=1"</formula>
    </cfRule>
  </conditionalFormatting>
  <conditionalFormatting sqref="T12">
    <cfRule type="expression" dxfId="89" priority="90">
      <formula>"L18=1"</formula>
    </cfRule>
  </conditionalFormatting>
  <conditionalFormatting sqref="T13">
    <cfRule type="expression" dxfId="88" priority="89">
      <formula>"L18=1"</formula>
    </cfRule>
  </conditionalFormatting>
  <conditionalFormatting sqref="T10">
    <cfRule type="expression" dxfId="87" priority="88">
      <formula>"L18=1"</formula>
    </cfRule>
  </conditionalFormatting>
  <conditionalFormatting sqref="T11">
    <cfRule type="expression" dxfId="86" priority="87">
      <formula>"L18=1"</formula>
    </cfRule>
  </conditionalFormatting>
  <conditionalFormatting sqref="T11">
    <cfRule type="expression" dxfId="85" priority="86">
      <formula>"L18=1"</formula>
    </cfRule>
  </conditionalFormatting>
  <conditionalFormatting sqref="T12">
    <cfRule type="expression" dxfId="84" priority="85">
      <formula>"L18=1"</formula>
    </cfRule>
  </conditionalFormatting>
  <conditionalFormatting sqref="T12">
    <cfRule type="expression" dxfId="83" priority="84">
      <formula>"L18=1"</formula>
    </cfRule>
  </conditionalFormatting>
  <conditionalFormatting sqref="T13">
    <cfRule type="expression" dxfId="82" priority="83">
      <formula>"L18=1"</formula>
    </cfRule>
  </conditionalFormatting>
  <conditionalFormatting sqref="T13">
    <cfRule type="expression" dxfId="81" priority="82">
      <formula>"L18=1"</formula>
    </cfRule>
  </conditionalFormatting>
  <conditionalFormatting sqref="T11">
    <cfRule type="expression" dxfId="80" priority="81">
      <formula>"L18=1"</formula>
    </cfRule>
  </conditionalFormatting>
  <conditionalFormatting sqref="T12">
    <cfRule type="expression" dxfId="79" priority="80">
      <formula>"L18=1"</formula>
    </cfRule>
  </conditionalFormatting>
  <conditionalFormatting sqref="T12">
    <cfRule type="expression" dxfId="78" priority="79">
      <formula>"L18=1"</formula>
    </cfRule>
  </conditionalFormatting>
  <conditionalFormatting sqref="T13">
    <cfRule type="expression" dxfId="77" priority="78">
      <formula>"L18=1"</formula>
    </cfRule>
  </conditionalFormatting>
  <conditionalFormatting sqref="T12">
    <cfRule type="expression" dxfId="76" priority="77">
      <formula>"L18=1"</formula>
    </cfRule>
  </conditionalFormatting>
  <conditionalFormatting sqref="T13">
    <cfRule type="expression" dxfId="75" priority="76">
      <formula>"L18=1"</formula>
    </cfRule>
  </conditionalFormatting>
  <conditionalFormatting sqref="T13">
    <cfRule type="expression" dxfId="74" priority="75">
      <formula>"L18=1"</formula>
    </cfRule>
  </conditionalFormatting>
  <conditionalFormatting sqref="T14">
    <cfRule type="expression" dxfId="73" priority="74">
      <formula>"L18=1"</formula>
    </cfRule>
  </conditionalFormatting>
  <conditionalFormatting sqref="T11">
    <cfRule type="expression" dxfId="72" priority="73">
      <formula>"L18=1"</formula>
    </cfRule>
  </conditionalFormatting>
  <conditionalFormatting sqref="T12">
    <cfRule type="expression" dxfId="71" priority="72">
      <formula>"L18=1"</formula>
    </cfRule>
  </conditionalFormatting>
  <conditionalFormatting sqref="T12">
    <cfRule type="expression" dxfId="70" priority="71">
      <formula>"L18=1"</formula>
    </cfRule>
  </conditionalFormatting>
  <conditionalFormatting sqref="T13">
    <cfRule type="expression" dxfId="69" priority="70">
      <formula>"L18=1"</formula>
    </cfRule>
  </conditionalFormatting>
  <conditionalFormatting sqref="T13">
    <cfRule type="expression" dxfId="68" priority="69">
      <formula>"L18=1"</formula>
    </cfRule>
  </conditionalFormatting>
  <conditionalFormatting sqref="T14">
    <cfRule type="expression" dxfId="67" priority="68">
      <formula>"L18=1"</formula>
    </cfRule>
  </conditionalFormatting>
  <conditionalFormatting sqref="T14">
    <cfRule type="expression" dxfId="66" priority="67">
      <formula>"L18=1"</formula>
    </cfRule>
  </conditionalFormatting>
  <conditionalFormatting sqref="T12">
    <cfRule type="expression" dxfId="65" priority="66">
      <formula>"L18=1"</formula>
    </cfRule>
  </conditionalFormatting>
  <conditionalFormatting sqref="T13">
    <cfRule type="expression" dxfId="64" priority="65">
      <formula>"L18=1"</formula>
    </cfRule>
  </conditionalFormatting>
  <conditionalFormatting sqref="T13">
    <cfRule type="expression" dxfId="63" priority="64">
      <formula>"L18=1"</formula>
    </cfRule>
  </conditionalFormatting>
  <conditionalFormatting sqref="T14">
    <cfRule type="expression" dxfId="62" priority="63">
      <formula>"L18=1"</formula>
    </cfRule>
  </conditionalFormatting>
  <conditionalFormatting sqref="U16">
    <cfRule type="expression" dxfId="61" priority="62">
      <formula>"L18=1"</formula>
    </cfRule>
  </conditionalFormatting>
  <conditionalFormatting sqref="T16">
    <cfRule type="expression" dxfId="60" priority="61">
      <formula>"L18=1"</formula>
    </cfRule>
  </conditionalFormatting>
  <conditionalFormatting sqref="T9">
    <cfRule type="expression" dxfId="59" priority="60">
      <formula>"L18=1"</formula>
    </cfRule>
  </conditionalFormatting>
  <conditionalFormatting sqref="T10">
    <cfRule type="expression" dxfId="58" priority="59">
      <formula>"L18=1"</formula>
    </cfRule>
  </conditionalFormatting>
  <conditionalFormatting sqref="T10">
    <cfRule type="expression" dxfId="57" priority="58">
      <formula>"L18=1"</formula>
    </cfRule>
  </conditionalFormatting>
  <conditionalFormatting sqref="T11">
    <cfRule type="expression" dxfId="56" priority="57">
      <formula>"L18=1"</formula>
    </cfRule>
  </conditionalFormatting>
  <conditionalFormatting sqref="T9">
    <cfRule type="expression" dxfId="55" priority="56">
      <formula>"L18=1"</formula>
    </cfRule>
  </conditionalFormatting>
  <conditionalFormatting sqref="T9">
    <cfRule type="expression" dxfId="54" priority="55">
      <formula>"L18=1"</formula>
    </cfRule>
  </conditionalFormatting>
  <conditionalFormatting sqref="T10">
    <cfRule type="expression" dxfId="53" priority="54">
      <formula>"L18=1"</formula>
    </cfRule>
  </conditionalFormatting>
  <conditionalFormatting sqref="T10">
    <cfRule type="expression" dxfId="52" priority="53">
      <formula>"L18=1"</formula>
    </cfRule>
  </conditionalFormatting>
  <conditionalFormatting sqref="T11">
    <cfRule type="expression" dxfId="51" priority="52">
      <formula>"L18=1"</formula>
    </cfRule>
  </conditionalFormatting>
  <conditionalFormatting sqref="T11">
    <cfRule type="expression" dxfId="50" priority="51">
      <formula>"L18=1"</formula>
    </cfRule>
  </conditionalFormatting>
  <conditionalFormatting sqref="T9">
    <cfRule type="expression" dxfId="49" priority="50">
      <formula>"L18=1"</formula>
    </cfRule>
  </conditionalFormatting>
  <conditionalFormatting sqref="T10">
    <cfRule type="expression" dxfId="48" priority="49">
      <formula>"L18=1"</formula>
    </cfRule>
  </conditionalFormatting>
  <conditionalFormatting sqref="T10">
    <cfRule type="expression" dxfId="47" priority="48">
      <formula>"L18=1"</formula>
    </cfRule>
  </conditionalFormatting>
  <conditionalFormatting sqref="T11">
    <cfRule type="expression" dxfId="46" priority="47">
      <formula>"L18=1"</formula>
    </cfRule>
  </conditionalFormatting>
  <conditionalFormatting sqref="T10">
    <cfRule type="expression" dxfId="45" priority="46">
      <formula>"L18=1"</formula>
    </cfRule>
  </conditionalFormatting>
  <conditionalFormatting sqref="T11">
    <cfRule type="expression" dxfId="44" priority="45">
      <formula>"L18=1"</formula>
    </cfRule>
  </conditionalFormatting>
  <conditionalFormatting sqref="T11">
    <cfRule type="expression" dxfId="43" priority="44">
      <formula>"L18=1"</formula>
    </cfRule>
  </conditionalFormatting>
  <conditionalFormatting sqref="T12">
    <cfRule type="expression" dxfId="42" priority="43">
      <formula>"L18=1"</formula>
    </cfRule>
  </conditionalFormatting>
  <conditionalFormatting sqref="T9">
    <cfRule type="expression" dxfId="41" priority="42">
      <formula>"L18=1"</formula>
    </cfRule>
  </conditionalFormatting>
  <conditionalFormatting sqref="T10">
    <cfRule type="expression" dxfId="40" priority="41">
      <formula>"L18=1"</formula>
    </cfRule>
  </conditionalFormatting>
  <conditionalFormatting sqref="T10">
    <cfRule type="expression" dxfId="39" priority="40">
      <formula>"L18=1"</formula>
    </cfRule>
  </conditionalFormatting>
  <conditionalFormatting sqref="T11">
    <cfRule type="expression" dxfId="38" priority="39">
      <formula>"L18=1"</formula>
    </cfRule>
  </conditionalFormatting>
  <conditionalFormatting sqref="T11">
    <cfRule type="expression" dxfId="37" priority="38">
      <formula>"L18=1"</formula>
    </cfRule>
  </conditionalFormatting>
  <conditionalFormatting sqref="T12">
    <cfRule type="expression" dxfId="36" priority="37">
      <formula>"L18=1"</formula>
    </cfRule>
  </conditionalFormatting>
  <conditionalFormatting sqref="T12">
    <cfRule type="expression" dxfId="35" priority="36">
      <formula>"L18=1"</formula>
    </cfRule>
  </conditionalFormatting>
  <conditionalFormatting sqref="T10">
    <cfRule type="expression" dxfId="34" priority="35">
      <formula>"L18=1"</formula>
    </cfRule>
  </conditionalFormatting>
  <conditionalFormatting sqref="T11">
    <cfRule type="expression" dxfId="33" priority="34">
      <formula>"L18=1"</formula>
    </cfRule>
  </conditionalFormatting>
  <conditionalFormatting sqref="T11">
    <cfRule type="expression" dxfId="32" priority="33">
      <formula>"L18=1"</formula>
    </cfRule>
  </conditionalFormatting>
  <conditionalFormatting sqref="T12">
    <cfRule type="expression" dxfId="31" priority="32">
      <formula>"L18=1"</formula>
    </cfRule>
  </conditionalFormatting>
  <conditionalFormatting sqref="T10">
    <cfRule type="expression" dxfId="30" priority="31">
      <formula>"L18=1"</formula>
    </cfRule>
  </conditionalFormatting>
  <conditionalFormatting sqref="T11">
    <cfRule type="expression" dxfId="29" priority="30">
      <formula>"L18=1"</formula>
    </cfRule>
  </conditionalFormatting>
  <conditionalFormatting sqref="T11">
    <cfRule type="expression" dxfId="28" priority="29">
      <formula>"L18=1"</formula>
    </cfRule>
  </conditionalFormatting>
  <conditionalFormatting sqref="T12">
    <cfRule type="expression" dxfId="27" priority="28">
      <formula>"L18=1"</formula>
    </cfRule>
  </conditionalFormatting>
  <conditionalFormatting sqref="T9">
    <cfRule type="expression" dxfId="26" priority="27">
      <formula>"L18=1"</formula>
    </cfRule>
  </conditionalFormatting>
  <conditionalFormatting sqref="T10">
    <cfRule type="expression" dxfId="25" priority="26">
      <formula>"L18=1"</formula>
    </cfRule>
  </conditionalFormatting>
  <conditionalFormatting sqref="T10">
    <cfRule type="expression" dxfId="24" priority="25">
      <formula>"L18=1"</formula>
    </cfRule>
  </conditionalFormatting>
  <conditionalFormatting sqref="T11">
    <cfRule type="expression" dxfId="23" priority="24">
      <formula>"L18=1"</formula>
    </cfRule>
  </conditionalFormatting>
  <conditionalFormatting sqref="T11">
    <cfRule type="expression" dxfId="22" priority="23">
      <formula>"L18=1"</formula>
    </cfRule>
  </conditionalFormatting>
  <conditionalFormatting sqref="T12">
    <cfRule type="expression" dxfId="21" priority="22">
      <formula>"L18=1"</formula>
    </cfRule>
  </conditionalFormatting>
  <conditionalFormatting sqref="T12">
    <cfRule type="expression" dxfId="20" priority="21">
      <formula>"L18=1"</formula>
    </cfRule>
  </conditionalFormatting>
  <conditionalFormatting sqref="T10">
    <cfRule type="expression" dxfId="19" priority="20">
      <formula>"L18=1"</formula>
    </cfRule>
  </conditionalFormatting>
  <conditionalFormatting sqref="T11">
    <cfRule type="expression" dxfId="18" priority="19">
      <formula>"L18=1"</formula>
    </cfRule>
  </conditionalFormatting>
  <conditionalFormatting sqref="T11">
    <cfRule type="expression" dxfId="17" priority="18">
      <formula>"L18=1"</formula>
    </cfRule>
  </conditionalFormatting>
  <conditionalFormatting sqref="T12">
    <cfRule type="expression" dxfId="16" priority="17">
      <formula>"L18=1"</formula>
    </cfRule>
  </conditionalFormatting>
  <conditionalFormatting sqref="T11">
    <cfRule type="expression" dxfId="15" priority="16">
      <formula>"L18=1"</formula>
    </cfRule>
  </conditionalFormatting>
  <conditionalFormatting sqref="T12">
    <cfRule type="expression" dxfId="14" priority="15">
      <formula>"L18=1"</formula>
    </cfRule>
  </conditionalFormatting>
  <conditionalFormatting sqref="T12">
    <cfRule type="expression" dxfId="13" priority="14">
      <formula>"L18=1"</formula>
    </cfRule>
  </conditionalFormatting>
  <conditionalFormatting sqref="T13">
    <cfRule type="expression" dxfId="12" priority="13">
      <formula>"L18=1"</formula>
    </cfRule>
  </conditionalFormatting>
  <conditionalFormatting sqref="T10">
    <cfRule type="expression" dxfId="11" priority="12">
      <formula>"L18=1"</formula>
    </cfRule>
  </conditionalFormatting>
  <conditionalFormatting sqref="T11">
    <cfRule type="expression" dxfId="10" priority="11">
      <formula>"L18=1"</formula>
    </cfRule>
  </conditionalFormatting>
  <conditionalFormatting sqref="T11">
    <cfRule type="expression" dxfId="9" priority="10">
      <formula>"L18=1"</formula>
    </cfRule>
  </conditionalFormatting>
  <conditionalFormatting sqref="T12">
    <cfRule type="expression" dxfId="8" priority="9">
      <formula>"L18=1"</formula>
    </cfRule>
  </conditionalFormatting>
  <conditionalFormatting sqref="T12">
    <cfRule type="expression" dxfId="7" priority="8">
      <formula>"L18=1"</formula>
    </cfRule>
  </conditionalFormatting>
  <conditionalFormatting sqref="T13">
    <cfRule type="expression" dxfId="6" priority="7">
      <formula>"L18=1"</formula>
    </cfRule>
  </conditionalFormatting>
  <conditionalFormatting sqref="T13">
    <cfRule type="expression" dxfId="5" priority="6">
      <formula>"L18=1"</formula>
    </cfRule>
  </conditionalFormatting>
  <conditionalFormatting sqref="T11">
    <cfRule type="expression" dxfId="4" priority="5">
      <formula>"L18=1"</formula>
    </cfRule>
  </conditionalFormatting>
  <conditionalFormatting sqref="T12">
    <cfRule type="expression" dxfId="3" priority="4">
      <formula>"L18=1"</formula>
    </cfRule>
  </conditionalFormatting>
  <conditionalFormatting sqref="T12">
    <cfRule type="expression" dxfId="2" priority="3">
      <formula>"L18=1"</formula>
    </cfRule>
  </conditionalFormatting>
  <conditionalFormatting sqref="T13">
    <cfRule type="expression" dxfId="1" priority="2">
      <formula>"L18=1"</formula>
    </cfRule>
  </conditionalFormatting>
  <conditionalFormatting sqref="F6">
    <cfRule type="expression" dxfId="0" priority="1">
      <formula>"L18=1"</formula>
    </cfRule>
  </conditionalFormatting>
  <dataValidations count="6">
    <dataValidation type="list" allowBlank="1" showInputMessage="1" showErrorMessage="1" sqref="D3" xr:uid="{00000000-0002-0000-0000-000000000000}">
      <formula1>$V$5:$V$15</formula1>
    </dataValidation>
    <dataValidation type="list" allowBlank="1" showInputMessage="1" showErrorMessage="1" sqref="C7:D7" xr:uid="{00000000-0002-0000-0000-000001000000}">
      <formula1>$T$1:$T$3</formula1>
    </dataValidation>
    <dataValidation type="list" allowBlank="1" showInputMessage="1" showErrorMessage="1" sqref="C3" xr:uid="{00000000-0002-0000-0000-000002000000}">
      <formula1>$W$1:$W$2</formula1>
    </dataValidation>
    <dataValidation allowBlank="1" showInputMessage="1" showErrorMessage="1" promptTitle="Upozornění" prompt="Zadávejte hodnotu pouze u tarifú C 25d, D 25d a vyšších. Jinak vyplň 0." sqref="C5:D5" xr:uid="{00000000-0002-0000-0000-000003000000}"/>
    <dataValidation type="list" allowBlank="1" showInputMessage="1" showErrorMessage="1" sqref="C9:D9" xr:uid="{00000000-0002-0000-0000-000004000000}">
      <formula1>$T$22:$T$23</formula1>
    </dataValidation>
    <dataValidation type="list" allowBlank="1" showInputMessage="1" showErrorMessage="1" sqref="F14" xr:uid="{00000000-0002-0000-0000-000005000000}">
      <formula1>$T$25:$T$26</formula1>
    </dataValidation>
  </dataValidations>
  <hyperlinks>
    <hyperlink ref="D15" r:id="rId1" xr:uid="{4317170E-7B6D-4173-8F31-D9247395549F}"/>
  </hyperlinks>
  <pageMargins left="0.25" right="0.25" top="0.75" bottom="0.75" header="0.3" footer="0.3"/>
  <pageSetup paperSize="9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131"/>
  <sheetViews>
    <sheetView topLeftCell="A79" zoomScale="80" zoomScaleNormal="80" workbookViewId="0">
      <selection activeCell="A95" sqref="A95:XFD131"/>
    </sheetView>
  </sheetViews>
  <sheetFormatPr defaultRowHeight="15" x14ac:dyDescent="0.25"/>
  <cols>
    <col min="1" max="1" width="50.5703125" customWidth="1"/>
    <col min="8" max="8" width="15" customWidth="1"/>
    <col min="23" max="23" width="10.42578125" customWidth="1"/>
    <col min="24" max="24" width="10" customWidth="1"/>
    <col min="25" max="25" width="10.5703125" customWidth="1"/>
    <col min="26" max="26" width="10" customWidth="1"/>
    <col min="27" max="27" width="10.42578125" customWidth="1"/>
    <col min="28" max="28" width="10.5703125" customWidth="1"/>
    <col min="35" max="35" width="12.7109375" customWidth="1"/>
  </cols>
  <sheetData>
    <row r="1" spans="1:32" ht="16.5" x14ac:dyDescent="0.25">
      <c r="A1" s="12" t="s">
        <v>165</v>
      </c>
      <c r="B1" s="12"/>
      <c r="C1" s="47"/>
      <c r="D1" s="47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x14ac:dyDescent="0.25">
      <c r="A2" s="47"/>
      <c r="B2" s="47" t="s">
        <v>162</v>
      </c>
      <c r="C2" s="10" t="s">
        <v>178</v>
      </c>
      <c r="D2" s="47"/>
      <c r="E2" s="10"/>
      <c r="F2" s="10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20.25" x14ac:dyDescent="0.25">
      <c r="A3" s="48"/>
      <c r="B3" s="12"/>
      <c r="C3" s="47" t="s">
        <v>177</v>
      </c>
      <c r="D3" s="47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ht="16.5" x14ac:dyDescent="0.25">
      <c r="A5" s="12" t="s">
        <v>3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1:32" x14ac:dyDescent="0.25">
      <c r="A6" s="13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x14ac:dyDescent="0.25">
      <c r="A7" s="13" t="s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x14ac:dyDescent="0.25">
      <c r="A8" s="13" t="s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1:32" x14ac:dyDescent="0.25">
      <c r="A9" s="13" t="s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</row>
    <row r="10" spans="1:32" x14ac:dyDescent="0.25">
      <c r="A10" s="13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x14ac:dyDescent="0.25">
      <c r="A11" s="13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x14ac:dyDescent="0.25">
      <c r="A12" s="13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x14ac:dyDescent="0.25">
      <c r="A13" s="13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x14ac:dyDescent="0.25">
      <c r="A14" s="13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ht="16.5" x14ac:dyDescent="0.25">
      <c r="A15" s="12" t="s">
        <v>8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ht="15.75" thickBot="1" x14ac:dyDescent="0.3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5" ht="17.25" thickTop="1" thickBot="1" x14ac:dyDescent="0.3">
      <c r="A17" s="74"/>
      <c r="B17" s="207" t="s">
        <v>9</v>
      </c>
      <c r="C17" s="208"/>
      <c r="D17" s="209"/>
      <c r="E17" s="207" t="s">
        <v>10</v>
      </c>
      <c r="F17" s="208"/>
      <c r="G17" s="209"/>
      <c r="H17" s="207" t="s">
        <v>11</v>
      </c>
      <c r="I17" s="208"/>
      <c r="J17" s="209"/>
      <c r="K17" s="207" t="s">
        <v>12</v>
      </c>
      <c r="L17" s="208"/>
      <c r="M17" s="209"/>
      <c r="N17" s="207" t="s">
        <v>13</v>
      </c>
      <c r="O17" s="208"/>
      <c r="P17" s="209"/>
      <c r="Q17" s="207" t="s">
        <v>167</v>
      </c>
      <c r="R17" s="208"/>
      <c r="S17" s="209"/>
      <c r="T17" s="207" t="s">
        <v>14</v>
      </c>
      <c r="U17" s="208"/>
      <c r="V17" s="209"/>
      <c r="W17" s="207" t="s">
        <v>15</v>
      </c>
      <c r="X17" s="208"/>
      <c r="Y17" s="209"/>
      <c r="Z17" s="207" t="s">
        <v>135</v>
      </c>
      <c r="AA17" s="208"/>
      <c r="AB17" s="209"/>
      <c r="AC17" s="207" t="s">
        <v>16</v>
      </c>
      <c r="AD17" s="208"/>
      <c r="AE17" s="209"/>
      <c r="AF17" s="207" t="s">
        <v>17</v>
      </c>
      <c r="AG17" s="208"/>
      <c r="AH17" s="209"/>
      <c r="AI17" s="75" t="s">
        <v>168</v>
      </c>
    </row>
    <row r="18" spans="1:35" ht="15.75" x14ac:dyDescent="0.25">
      <c r="A18" s="76" t="s">
        <v>18</v>
      </c>
      <c r="B18" s="77"/>
      <c r="C18" s="78"/>
      <c r="D18" s="79"/>
      <c r="E18" s="77"/>
      <c r="F18" s="78"/>
      <c r="G18" s="79"/>
      <c r="H18" s="77"/>
      <c r="I18" s="78"/>
      <c r="J18" s="79"/>
      <c r="K18" s="77"/>
      <c r="L18" s="78"/>
      <c r="M18" s="79"/>
      <c r="N18" s="77"/>
      <c r="O18" s="78"/>
      <c r="P18" s="79"/>
      <c r="Q18" s="77"/>
      <c r="R18" s="78"/>
      <c r="S18" s="79"/>
      <c r="T18" s="80"/>
      <c r="U18" s="78"/>
      <c r="V18" s="79"/>
      <c r="W18" s="77"/>
      <c r="X18" s="78"/>
      <c r="Y18" s="79"/>
      <c r="Z18" s="77"/>
      <c r="AA18" s="78"/>
      <c r="AB18" s="79"/>
      <c r="AC18" s="77"/>
      <c r="AD18" s="78"/>
      <c r="AE18" s="79"/>
      <c r="AF18" s="77"/>
      <c r="AG18" s="78"/>
      <c r="AH18" s="79"/>
      <c r="AI18" s="81"/>
    </row>
    <row r="19" spans="1:35" x14ac:dyDescent="0.25">
      <c r="A19" s="82" t="s">
        <v>169</v>
      </c>
      <c r="B19" s="83">
        <v>3100</v>
      </c>
      <c r="C19" s="83">
        <f>$B$19</f>
        <v>3100</v>
      </c>
      <c r="D19" s="83">
        <f t="shared" ref="D19:AI20" si="0">$B$19</f>
        <v>3100</v>
      </c>
      <c r="E19" s="83">
        <f t="shared" si="0"/>
        <v>3100</v>
      </c>
      <c r="F19" s="83">
        <f t="shared" si="0"/>
        <v>3100</v>
      </c>
      <c r="G19" s="83">
        <f t="shared" si="0"/>
        <v>3100</v>
      </c>
      <c r="H19" s="83">
        <f t="shared" si="0"/>
        <v>3100</v>
      </c>
      <c r="I19" s="83">
        <f t="shared" si="0"/>
        <v>3100</v>
      </c>
      <c r="J19" s="83">
        <f t="shared" si="0"/>
        <v>3100</v>
      </c>
      <c r="K19" s="83">
        <f t="shared" si="0"/>
        <v>3100</v>
      </c>
      <c r="L19" s="83">
        <f t="shared" si="0"/>
        <v>3100</v>
      </c>
      <c r="M19" s="83">
        <f t="shared" si="0"/>
        <v>3100</v>
      </c>
      <c r="N19" s="83">
        <f t="shared" si="0"/>
        <v>3100</v>
      </c>
      <c r="O19" s="83">
        <f t="shared" si="0"/>
        <v>3100</v>
      </c>
      <c r="P19" s="83">
        <f t="shared" si="0"/>
        <v>3100</v>
      </c>
      <c r="Q19" s="83">
        <f t="shared" si="0"/>
        <v>3100</v>
      </c>
      <c r="R19" s="83">
        <f t="shared" si="0"/>
        <v>3100</v>
      </c>
      <c r="S19" s="83">
        <f t="shared" si="0"/>
        <v>3100</v>
      </c>
      <c r="T19" s="83">
        <f t="shared" si="0"/>
        <v>3100</v>
      </c>
      <c r="U19" s="83">
        <f t="shared" si="0"/>
        <v>3100</v>
      </c>
      <c r="V19" s="83">
        <f t="shared" si="0"/>
        <v>3100</v>
      </c>
      <c r="W19" s="83">
        <f t="shared" si="0"/>
        <v>3100</v>
      </c>
      <c r="X19" s="83">
        <f t="shared" si="0"/>
        <v>3100</v>
      </c>
      <c r="Y19" s="83">
        <f t="shared" si="0"/>
        <v>3100</v>
      </c>
      <c r="Z19" s="83">
        <f t="shared" si="0"/>
        <v>3100</v>
      </c>
      <c r="AA19" s="83">
        <f t="shared" si="0"/>
        <v>3100</v>
      </c>
      <c r="AB19" s="83">
        <f t="shared" si="0"/>
        <v>3100</v>
      </c>
      <c r="AC19" s="83">
        <f t="shared" si="0"/>
        <v>3100</v>
      </c>
      <c r="AD19" s="83">
        <f t="shared" si="0"/>
        <v>3100</v>
      </c>
      <c r="AE19" s="83">
        <f t="shared" si="0"/>
        <v>3100</v>
      </c>
      <c r="AF19" s="83">
        <f t="shared" si="0"/>
        <v>3100</v>
      </c>
      <c r="AG19" s="83">
        <f t="shared" si="0"/>
        <v>3100</v>
      </c>
      <c r="AH19" s="83">
        <f t="shared" si="0"/>
        <v>3100</v>
      </c>
      <c r="AI19" s="83">
        <f t="shared" si="0"/>
        <v>3100</v>
      </c>
    </row>
    <row r="20" spans="1:35" x14ac:dyDescent="0.25">
      <c r="A20" s="82" t="s">
        <v>170</v>
      </c>
      <c r="B20" s="69"/>
      <c r="C20" s="69"/>
      <c r="D20" s="66"/>
      <c r="E20" s="65"/>
      <c r="F20" s="65"/>
      <c r="G20" s="66"/>
      <c r="H20" s="68"/>
      <c r="I20" s="65"/>
      <c r="J20" s="66"/>
      <c r="K20" s="65">
        <v>3100</v>
      </c>
      <c r="L20" s="83">
        <f t="shared" si="0"/>
        <v>3100</v>
      </c>
      <c r="M20" s="83">
        <f t="shared" si="0"/>
        <v>3100</v>
      </c>
      <c r="N20" s="83">
        <f t="shared" si="0"/>
        <v>3100</v>
      </c>
      <c r="O20" s="83">
        <f t="shared" si="0"/>
        <v>3100</v>
      </c>
      <c r="P20" s="83">
        <f t="shared" si="0"/>
        <v>3100</v>
      </c>
      <c r="Q20" s="83">
        <f t="shared" si="0"/>
        <v>3100</v>
      </c>
      <c r="R20" s="83">
        <f t="shared" si="0"/>
        <v>3100</v>
      </c>
      <c r="S20" s="83">
        <f t="shared" si="0"/>
        <v>3100</v>
      </c>
      <c r="T20" s="83">
        <f t="shared" si="0"/>
        <v>3100</v>
      </c>
      <c r="U20" s="83">
        <f t="shared" si="0"/>
        <v>3100</v>
      </c>
      <c r="V20" s="83">
        <f t="shared" si="0"/>
        <v>3100</v>
      </c>
      <c r="W20" s="65">
        <v>2700</v>
      </c>
      <c r="X20" s="65">
        <f>W20</f>
        <v>2700</v>
      </c>
      <c r="Y20" s="66">
        <f t="shared" ref="Y20:AH20" si="1">X20</f>
        <v>2700</v>
      </c>
      <c r="Z20" s="65">
        <f t="shared" si="1"/>
        <v>2700</v>
      </c>
      <c r="AA20" s="65">
        <f t="shared" si="1"/>
        <v>2700</v>
      </c>
      <c r="AB20" s="66">
        <f t="shared" si="1"/>
        <v>2700</v>
      </c>
      <c r="AC20" s="67">
        <f t="shared" si="1"/>
        <v>2700</v>
      </c>
      <c r="AD20" s="65">
        <f t="shared" si="1"/>
        <v>2700</v>
      </c>
      <c r="AE20" s="66">
        <f t="shared" si="1"/>
        <v>2700</v>
      </c>
      <c r="AF20" s="68">
        <f t="shared" si="1"/>
        <v>2700</v>
      </c>
      <c r="AG20" s="69">
        <f t="shared" si="1"/>
        <v>2700</v>
      </c>
      <c r="AH20" s="66">
        <f t="shared" si="1"/>
        <v>2700</v>
      </c>
      <c r="AI20" s="85"/>
    </row>
    <row r="21" spans="1:35" ht="15.75" thickBot="1" x14ac:dyDescent="0.3">
      <c r="A21" s="86" t="s">
        <v>19</v>
      </c>
      <c r="B21" s="87">
        <v>29</v>
      </c>
      <c r="C21" s="87">
        <f>B21</f>
        <v>29</v>
      </c>
      <c r="D21" s="88">
        <f t="shared" ref="D21:AH21" si="2">C21</f>
        <v>29</v>
      </c>
      <c r="E21" s="87">
        <f>D21</f>
        <v>29</v>
      </c>
      <c r="F21" s="87">
        <f t="shared" si="2"/>
        <v>29</v>
      </c>
      <c r="G21" s="88">
        <f t="shared" si="2"/>
        <v>29</v>
      </c>
      <c r="H21" s="87">
        <f>G21</f>
        <v>29</v>
      </c>
      <c r="I21" s="87">
        <f t="shared" si="2"/>
        <v>29</v>
      </c>
      <c r="J21" s="88">
        <f t="shared" si="2"/>
        <v>29</v>
      </c>
      <c r="K21" s="87">
        <f>J21</f>
        <v>29</v>
      </c>
      <c r="L21" s="87">
        <f t="shared" si="2"/>
        <v>29</v>
      </c>
      <c r="M21" s="88">
        <f t="shared" si="2"/>
        <v>29</v>
      </c>
      <c r="N21" s="87">
        <f t="shared" si="2"/>
        <v>29</v>
      </c>
      <c r="O21" s="87">
        <f t="shared" si="2"/>
        <v>29</v>
      </c>
      <c r="P21" s="88">
        <f t="shared" si="2"/>
        <v>29</v>
      </c>
      <c r="Q21" s="87">
        <f>P21</f>
        <v>29</v>
      </c>
      <c r="R21" s="87">
        <f>Q21</f>
        <v>29</v>
      </c>
      <c r="S21" s="88">
        <f>R21</f>
        <v>29</v>
      </c>
      <c r="T21" s="87">
        <f>S21</f>
        <v>29</v>
      </c>
      <c r="U21" s="87">
        <f t="shared" si="2"/>
        <v>29</v>
      </c>
      <c r="V21" s="88">
        <f t="shared" si="2"/>
        <v>29</v>
      </c>
      <c r="W21" s="87">
        <f t="shared" si="2"/>
        <v>29</v>
      </c>
      <c r="X21" s="87">
        <f t="shared" si="2"/>
        <v>29</v>
      </c>
      <c r="Y21" s="88">
        <f t="shared" si="2"/>
        <v>29</v>
      </c>
      <c r="Z21" s="87">
        <f>Y21</f>
        <v>29</v>
      </c>
      <c r="AA21" s="87">
        <f>Z21</f>
        <v>29</v>
      </c>
      <c r="AB21" s="88">
        <f>AA21</f>
        <v>29</v>
      </c>
      <c r="AC21" s="87">
        <f>Y21</f>
        <v>29</v>
      </c>
      <c r="AD21" s="87">
        <f t="shared" si="2"/>
        <v>29</v>
      </c>
      <c r="AE21" s="88">
        <f t="shared" si="2"/>
        <v>29</v>
      </c>
      <c r="AF21" s="87">
        <f t="shared" si="2"/>
        <v>29</v>
      </c>
      <c r="AG21" s="87">
        <f t="shared" si="2"/>
        <v>29</v>
      </c>
      <c r="AH21" s="88">
        <f t="shared" si="2"/>
        <v>29</v>
      </c>
      <c r="AI21" s="89">
        <f>AH21</f>
        <v>29</v>
      </c>
    </row>
    <row r="22" spans="1:35" x14ac:dyDescent="0.25">
      <c r="A22" s="76" t="s">
        <v>20</v>
      </c>
      <c r="B22" s="78"/>
      <c r="C22" s="78"/>
      <c r="D22" s="79"/>
      <c r="E22" s="78"/>
      <c r="F22" s="78"/>
      <c r="G22" s="79"/>
      <c r="H22" s="78"/>
      <c r="I22" s="78"/>
      <c r="J22" s="79"/>
      <c r="K22" s="78"/>
      <c r="L22" s="78"/>
      <c r="M22" s="79"/>
      <c r="N22" s="78"/>
      <c r="O22" s="78"/>
      <c r="P22" s="79"/>
      <c r="Q22" s="78"/>
      <c r="R22" s="78"/>
      <c r="S22" s="79"/>
      <c r="T22" s="90"/>
      <c r="U22" s="78"/>
      <c r="V22" s="79"/>
      <c r="W22" s="78"/>
      <c r="X22" s="78"/>
      <c r="Y22" s="79"/>
      <c r="Z22" s="78"/>
      <c r="AA22" s="78"/>
      <c r="AB22" s="79"/>
      <c r="AC22" s="78"/>
      <c r="AD22" s="78"/>
      <c r="AE22" s="79"/>
      <c r="AF22" s="78"/>
      <c r="AG22" s="78"/>
      <c r="AH22" s="79"/>
      <c r="AI22" s="81"/>
    </row>
    <row r="23" spans="1:35" x14ac:dyDescent="0.25">
      <c r="A23" s="91" t="s">
        <v>21</v>
      </c>
      <c r="B23" s="92"/>
      <c r="C23" s="92"/>
      <c r="D23" s="93"/>
      <c r="E23" s="92"/>
      <c r="F23" s="92"/>
      <c r="G23" s="93"/>
      <c r="H23" s="92"/>
      <c r="I23" s="92"/>
      <c r="J23" s="93"/>
      <c r="K23" s="92"/>
      <c r="L23" s="92"/>
      <c r="M23" s="93"/>
      <c r="N23" s="92"/>
      <c r="O23" s="92"/>
      <c r="P23" s="93"/>
      <c r="Q23" s="92"/>
      <c r="R23" s="92"/>
      <c r="S23" s="93"/>
      <c r="T23" s="94"/>
      <c r="U23" s="92"/>
      <c r="V23" s="93"/>
      <c r="W23" s="92"/>
      <c r="X23" s="92"/>
      <c r="Y23" s="93"/>
      <c r="Z23" s="92"/>
      <c r="AA23" s="92"/>
      <c r="AB23" s="93"/>
      <c r="AC23" s="92"/>
      <c r="AD23" s="92"/>
      <c r="AE23" s="93"/>
      <c r="AF23" s="92"/>
      <c r="AG23" s="92"/>
      <c r="AH23" s="93"/>
      <c r="AI23" s="95"/>
    </row>
    <row r="24" spans="1:35" x14ac:dyDescent="0.25">
      <c r="A24" s="96"/>
      <c r="B24" s="97" t="s">
        <v>23</v>
      </c>
      <c r="C24" s="98" t="s">
        <v>171</v>
      </c>
      <c r="D24" s="99" t="s">
        <v>22</v>
      </c>
      <c r="E24" s="97" t="s">
        <v>23</v>
      </c>
      <c r="F24" s="98" t="str">
        <f>C24</f>
        <v>EG.D</v>
      </c>
      <c r="G24" s="99" t="s">
        <v>22</v>
      </c>
      <c r="H24" s="97" t="s">
        <v>23</v>
      </c>
      <c r="I24" s="98" t="str">
        <f>F24</f>
        <v>EG.D</v>
      </c>
      <c r="J24" s="99" t="s">
        <v>22</v>
      </c>
      <c r="K24" s="97" t="s">
        <v>23</v>
      </c>
      <c r="L24" s="98" t="str">
        <f>I24</f>
        <v>EG.D</v>
      </c>
      <c r="M24" s="99" t="s">
        <v>22</v>
      </c>
      <c r="N24" s="97" t="s">
        <v>23</v>
      </c>
      <c r="O24" s="98" t="str">
        <f>L24</f>
        <v>EG.D</v>
      </c>
      <c r="P24" s="99" t="s">
        <v>22</v>
      </c>
      <c r="Q24" s="97" t="s">
        <v>23</v>
      </c>
      <c r="R24" s="98" t="str">
        <f>O24</f>
        <v>EG.D</v>
      </c>
      <c r="S24" s="99" t="s">
        <v>22</v>
      </c>
      <c r="T24" s="97" t="s">
        <v>23</v>
      </c>
      <c r="U24" s="98" t="str">
        <f>R24</f>
        <v>EG.D</v>
      </c>
      <c r="V24" s="99" t="s">
        <v>22</v>
      </c>
      <c r="W24" s="97" t="s">
        <v>23</v>
      </c>
      <c r="X24" s="98" t="str">
        <f>U24</f>
        <v>EG.D</v>
      </c>
      <c r="Y24" s="99" t="s">
        <v>22</v>
      </c>
      <c r="Z24" s="97" t="s">
        <v>23</v>
      </c>
      <c r="AA24" s="98" t="str">
        <f>X24</f>
        <v>EG.D</v>
      </c>
      <c r="AB24" s="99" t="s">
        <v>22</v>
      </c>
      <c r="AC24" s="97" t="s">
        <v>23</v>
      </c>
      <c r="AD24" s="98" t="str">
        <f>AA24</f>
        <v>EG.D</v>
      </c>
      <c r="AE24" s="99" t="s">
        <v>22</v>
      </c>
      <c r="AF24" s="97" t="s">
        <v>23</v>
      </c>
      <c r="AG24" s="98" t="str">
        <f>AD24</f>
        <v>EG.D</v>
      </c>
      <c r="AH24" s="99" t="s">
        <v>22</v>
      </c>
      <c r="AI24" s="100" t="s">
        <v>22</v>
      </c>
    </row>
    <row r="25" spans="1:35" x14ac:dyDescent="0.25">
      <c r="A25" s="101" t="s">
        <v>24</v>
      </c>
      <c r="B25" s="70">
        <v>29</v>
      </c>
      <c r="C25" s="71">
        <v>28</v>
      </c>
      <c r="D25" s="72">
        <v>31</v>
      </c>
      <c r="E25" s="70">
        <v>71</v>
      </c>
      <c r="F25" s="71">
        <v>74</v>
      </c>
      <c r="G25" s="71">
        <v>72</v>
      </c>
      <c r="H25" s="70">
        <v>513</v>
      </c>
      <c r="I25" s="73">
        <v>593</v>
      </c>
      <c r="J25" s="72">
        <v>540</v>
      </c>
      <c r="K25" s="70">
        <v>128</v>
      </c>
      <c r="L25" s="73">
        <v>145</v>
      </c>
      <c r="M25" s="72">
        <v>135</v>
      </c>
      <c r="N25" s="70">
        <v>356</v>
      </c>
      <c r="O25" s="73">
        <v>371</v>
      </c>
      <c r="P25" s="73">
        <v>357</v>
      </c>
      <c r="Q25" s="70">
        <v>122</v>
      </c>
      <c r="R25" s="73">
        <v>138</v>
      </c>
      <c r="S25" s="72">
        <v>129</v>
      </c>
      <c r="T25" s="70">
        <v>417</v>
      </c>
      <c r="U25" s="73">
        <v>445</v>
      </c>
      <c r="V25" s="72">
        <v>409</v>
      </c>
      <c r="W25" s="70">
        <v>416</v>
      </c>
      <c r="X25" s="73">
        <v>452</v>
      </c>
      <c r="Y25" s="72">
        <v>418</v>
      </c>
      <c r="Z25" s="70">
        <v>416</v>
      </c>
      <c r="AA25" s="73">
        <v>452</v>
      </c>
      <c r="AB25" s="72">
        <v>418</v>
      </c>
      <c r="AC25" s="70">
        <v>333</v>
      </c>
      <c r="AD25" s="71">
        <v>362</v>
      </c>
      <c r="AE25" s="71">
        <v>335</v>
      </c>
      <c r="AF25" s="70">
        <v>416</v>
      </c>
      <c r="AG25" s="73">
        <v>452</v>
      </c>
      <c r="AH25" s="72">
        <v>418</v>
      </c>
      <c r="AI25" s="102">
        <v>130</v>
      </c>
    </row>
    <row r="26" spans="1:35" x14ac:dyDescent="0.25">
      <c r="A26" s="101" t="s">
        <v>25</v>
      </c>
      <c r="B26" s="70">
        <v>47</v>
      </c>
      <c r="C26" s="71">
        <v>45</v>
      </c>
      <c r="D26" s="72">
        <v>49</v>
      </c>
      <c r="E26" s="70">
        <v>113</v>
      </c>
      <c r="F26" s="71">
        <v>118</v>
      </c>
      <c r="G26" s="71">
        <v>115</v>
      </c>
      <c r="H26" s="70">
        <v>821</v>
      </c>
      <c r="I26" s="73">
        <v>949</v>
      </c>
      <c r="J26" s="72">
        <v>864</v>
      </c>
      <c r="K26" s="70">
        <v>205</v>
      </c>
      <c r="L26" s="73">
        <v>232</v>
      </c>
      <c r="M26" s="72">
        <v>216</v>
      </c>
      <c r="N26" s="70">
        <v>569</v>
      </c>
      <c r="O26" s="73">
        <v>593</v>
      </c>
      <c r="P26" s="73">
        <v>571</v>
      </c>
      <c r="Q26" s="70">
        <v>195</v>
      </c>
      <c r="R26" s="73">
        <v>221</v>
      </c>
      <c r="S26" s="72">
        <v>206</v>
      </c>
      <c r="T26" s="70">
        <v>667</v>
      </c>
      <c r="U26" s="73">
        <v>712</v>
      </c>
      <c r="V26" s="72">
        <v>654</v>
      </c>
      <c r="W26" s="70">
        <v>666</v>
      </c>
      <c r="X26" s="73">
        <v>723</v>
      </c>
      <c r="Y26" s="72">
        <v>669</v>
      </c>
      <c r="Z26" s="70">
        <v>666</v>
      </c>
      <c r="AA26" s="73">
        <v>723</v>
      </c>
      <c r="AB26" s="72">
        <v>669</v>
      </c>
      <c r="AC26" s="70">
        <v>532</v>
      </c>
      <c r="AD26" s="71">
        <v>578</v>
      </c>
      <c r="AE26" s="71">
        <v>535</v>
      </c>
      <c r="AF26" s="70">
        <v>666</v>
      </c>
      <c r="AG26" s="73">
        <v>723</v>
      </c>
      <c r="AH26" s="72">
        <v>669</v>
      </c>
      <c r="AI26" s="102">
        <v>207</v>
      </c>
    </row>
    <row r="27" spans="1:35" x14ac:dyDescent="0.25">
      <c r="A27" s="101" t="s">
        <v>26</v>
      </c>
      <c r="B27" s="70">
        <v>59</v>
      </c>
      <c r="C27" s="71">
        <v>56</v>
      </c>
      <c r="D27" s="72">
        <v>61</v>
      </c>
      <c r="E27" s="70">
        <v>141</v>
      </c>
      <c r="F27" s="71">
        <v>147</v>
      </c>
      <c r="G27" s="71">
        <v>143</v>
      </c>
      <c r="H27" s="70">
        <v>1027</v>
      </c>
      <c r="I27" s="73">
        <v>1187</v>
      </c>
      <c r="J27" s="72">
        <v>1081</v>
      </c>
      <c r="K27" s="70">
        <v>257</v>
      </c>
      <c r="L27" s="73">
        <v>290</v>
      </c>
      <c r="M27" s="72">
        <v>271</v>
      </c>
      <c r="N27" s="70">
        <v>711</v>
      </c>
      <c r="O27" s="73">
        <v>742</v>
      </c>
      <c r="P27" s="73">
        <v>714</v>
      </c>
      <c r="Q27" s="70">
        <v>244</v>
      </c>
      <c r="R27" s="73">
        <v>276</v>
      </c>
      <c r="S27" s="72">
        <v>257</v>
      </c>
      <c r="T27" s="70">
        <v>834</v>
      </c>
      <c r="U27" s="73">
        <v>890</v>
      </c>
      <c r="V27" s="72">
        <v>817</v>
      </c>
      <c r="W27" s="70">
        <v>832</v>
      </c>
      <c r="X27" s="73">
        <v>904</v>
      </c>
      <c r="Y27" s="72">
        <v>836</v>
      </c>
      <c r="Z27" s="70">
        <v>832</v>
      </c>
      <c r="AA27" s="73">
        <v>904</v>
      </c>
      <c r="AB27" s="72">
        <v>836</v>
      </c>
      <c r="AC27" s="70">
        <v>665</v>
      </c>
      <c r="AD27" s="71">
        <v>723</v>
      </c>
      <c r="AE27" s="71">
        <v>669</v>
      </c>
      <c r="AF27" s="70">
        <v>832</v>
      </c>
      <c r="AG27" s="73">
        <v>904</v>
      </c>
      <c r="AH27" s="72">
        <v>836</v>
      </c>
      <c r="AI27" s="102">
        <v>259</v>
      </c>
    </row>
    <row r="28" spans="1:35" x14ac:dyDescent="0.25">
      <c r="A28" s="101" t="s">
        <v>27</v>
      </c>
      <c r="B28" s="70">
        <v>74</v>
      </c>
      <c r="C28" s="71">
        <v>71</v>
      </c>
      <c r="D28" s="72">
        <v>77</v>
      </c>
      <c r="E28" s="70">
        <v>176</v>
      </c>
      <c r="F28" s="71">
        <v>184</v>
      </c>
      <c r="G28" s="71">
        <v>179</v>
      </c>
      <c r="H28" s="70">
        <v>1283</v>
      </c>
      <c r="I28" s="73">
        <v>1484</v>
      </c>
      <c r="J28" s="72">
        <v>1351</v>
      </c>
      <c r="K28" s="70">
        <v>321</v>
      </c>
      <c r="L28" s="73">
        <v>363</v>
      </c>
      <c r="M28" s="72">
        <v>338</v>
      </c>
      <c r="N28" s="70">
        <v>889</v>
      </c>
      <c r="O28" s="73">
        <v>927</v>
      </c>
      <c r="P28" s="73">
        <v>893</v>
      </c>
      <c r="Q28" s="70">
        <v>305</v>
      </c>
      <c r="R28" s="73">
        <v>345</v>
      </c>
      <c r="S28" s="72">
        <v>321</v>
      </c>
      <c r="T28" s="70">
        <v>1043</v>
      </c>
      <c r="U28" s="73">
        <v>1113</v>
      </c>
      <c r="V28" s="72">
        <v>1022</v>
      </c>
      <c r="W28" s="70">
        <v>1040</v>
      </c>
      <c r="X28" s="73">
        <v>1130</v>
      </c>
      <c r="Y28" s="72">
        <v>1045</v>
      </c>
      <c r="Z28" s="70">
        <v>1040</v>
      </c>
      <c r="AA28" s="73">
        <v>1130</v>
      </c>
      <c r="AB28" s="72">
        <v>1045</v>
      </c>
      <c r="AC28" s="70">
        <v>832</v>
      </c>
      <c r="AD28" s="71">
        <v>904</v>
      </c>
      <c r="AE28" s="71">
        <v>836</v>
      </c>
      <c r="AF28" s="70">
        <v>1040</v>
      </c>
      <c r="AG28" s="73">
        <v>1130</v>
      </c>
      <c r="AH28" s="72">
        <v>1045</v>
      </c>
      <c r="AI28" s="102">
        <v>324</v>
      </c>
    </row>
    <row r="29" spans="1:35" x14ac:dyDescent="0.25">
      <c r="A29" s="101" t="s">
        <v>28</v>
      </c>
      <c r="B29" s="70">
        <v>94</v>
      </c>
      <c r="C29" s="71">
        <v>90</v>
      </c>
      <c r="D29" s="72">
        <v>98</v>
      </c>
      <c r="E29" s="70">
        <v>226</v>
      </c>
      <c r="F29" s="71">
        <v>235</v>
      </c>
      <c r="G29" s="71">
        <v>229</v>
      </c>
      <c r="H29" s="70">
        <v>1643</v>
      </c>
      <c r="I29" s="73">
        <v>1899</v>
      </c>
      <c r="J29" s="72">
        <v>1729</v>
      </c>
      <c r="K29" s="70">
        <v>411</v>
      </c>
      <c r="L29" s="73">
        <v>465</v>
      </c>
      <c r="M29" s="72">
        <v>433</v>
      </c>
      <c r="N29" s="70">
        <v>1138</v>
      </c>
      <c r="O29" s="73">
        <v>1187</v>
      </c>
      <c r="P29" s="73">
        <v>1142</v>
      </c>
      <c r="Q29" s="70">
        <v>390</v>
      </c>
      <c r="R29" s="73">
        <v>441</v>
      </c>
      <c r="S29" s="72">
        <v>411</v>
      </c>
      <c r="T29" s="70">
        <v>1334</v>
      </c>
      <c r="U29" s="73">
        <v>1425</v>
      </c>
      <c r="V29" s="72">
        <v>1308</v>
      </c>
      <c r="W29" s="70">
        <v>1332</v>
      </c>
      <c r="X29" s="73">
        <v>1446</v>
      </c>
      <c r="Y29" s="72">
        <v>1337</v>
      </c>
      <c r="Z29" s="70">
        <v>1331</v>
      </c>
      <c r="AA29" s="73">
        <v>1446</v>
      </c>
      <c r="AB29" s="72">
        <v>1337</v>
      </c>
      <c r="AC29" s="70">
        <v>1065</v>
      </c>
      <c r="AD29" s="71">
        <v>1157</v>
      </c>
      <c r="AE29" s="71">
        <v>1070</v>
      </c>
      <c r="AF29" s="70">
        <v>1332</v>
      </c>
      <c r="AG29" s="73">
        <v>1446</v>
      </c>
      <c r="AH29" s="72">
        <v>1337</v>
      </c>
      <c r="AI29" s="102">
        <v>415</v>
      </c>
    </row>
    <row r="30" spans="1:35" x14ac:dyDescent="0.25">
      <c r="A30" s="101" t="s">
        <v>29</v>
      </c>
      <c r="B30" s="70">
        <v>118</v>
      </c>
      <c r="C30" s="71">
        <v>113</v>
      </c>
      <c r="D30" s="72">
        <v>122</v>
      </c>
      <c r="E30" s="70">
        <v>282</v>
      </c>
      <c r="F30" s="71">
        <v>294</v>
      </c>
      <c r="G30" s="71">
        <v>287</v>
      </c>
      <c r="H30" s="70">
        <v>2053</v>
      </c>
      <c r="I30" s="73">
        <v>2374</v>
      </c>
      <c r="J30" s="72">
        <v>2161</v>
      </c>
      <c r="K30" s="70">
        <v>514</v>
      </c>
      <c r="L30" s="73">
        <v>581</v>
      </c>
      <c r="M30" s="72">
        <v>541</v>
      </c>
      <c r="N30" s="70">
        <v>1422</v>
      </c>
      <c r="O30" s="73">
        <v>1483</v>
      </c>
      <c r="P30" s="73">
        <v>1428</v>
      </c>
      <c r="Q30" s="70">
        <v>488</v>
      </c>
      <c r="R30" s="73">
        <v>552</v>
      </c>
      <c r="S30" s="72">
        <v>514</v>
      </c>
      <c r="T30" s="70">
        <v>1668</v>
      </c>
      <c r="U30" s="73">
        <v>1781</v>
      </c>
      <c r="V30" s="72">
        <v>1634</v>
      </c>
      <c r="W30" s="70">
        <v>1664</v>
      </c>
      <c r="X30" s="73">
        <v>1807</v>
      </c>
      <c r="Y30" s="72">
        <v>1672</v>
      </c>
      <c r="Z30" s="70">
        <v>1681</v>
      </c>
      <c r="AA30" s="73">
        <v>1826</v>
      </c>
      <c r="AB30" s="72">
        <v>1689</v>
      </c>
      <c r="AC30" s="70">
        <v>1331</v>
      </c>
      <c r="AD30" s="71">
        <v>1446</v>
      </c>
      <c r="AE30" s="71">
        <v>1338</v>
      </c>
      <c r="AF30" s="70">
        <v>1664</v>
      </c>
      <c r="AG30" s="73">
        <v>1807</v>
      </c>
      <c r="AH30" s="72">
        <v>1672</v>
      </c>
      <c r="AI30" s="102">
        <v>518</v>
      </c>
    </row>
    <row r="31" spans="1:35" x14ac:dyDescent="0.25">
      <c r="A31" s="101" t="s">
        <v>30</v>
      </c>
      <c r="B31" s="70">
        <v>147</v>
      </c>
      <c r="C31" s="71">
        <v>141</v>
      </c>
      <c r="D31" s="72">
        <v>153</v>
      </c>
      <c r="E31" s="70">
        <v>353</v>
      </c>
      <c r="F31" s="71">
        <v>368</v>
      </c>
      <c r="G31" s="71">
        <v>359</v>
      </c>
      <c r="H31" s="70">
        <v>2567</v>
      </c>
      <c r="I31" s="73">
        <v>2967</v>
      </c>
      <c r="J31" s="72">
        <v>2702</v>
      </c>
      <c r="K31" s="70">
        <v>642</v>
      </c>
      <c r="L31" s="73">
        <v>726</v>
      </c>
      <c r="M31" s="72">
        <v>677</v>
      </c>
      <c r="N31" s="70">
        <v>1778</v>
      </c>
      <c r="O31" s="73">
        <v>1854</v>
      </c>
      <c r="P31" s="73">
        <v>1785</v>
      </c>
      <c r="Q31" s="70">
        <v>610</v>
      </c>
      <c r="R31" s="73">
        <v>690</v>
      </c>
      <c r="S31" s="72">
        <v>643</v>
      </c>
      <c r="T31" s="70">
        <v>2085</v>
      </c>
      <c r="U31" s="73">
        <v>2226</v>
      </c>
      <c r="V31" s="72">
        <v>2043</v>
      </c>
      <c r="W31" s="70">
        <v>2081</v>
      </c>
      <c r="X31" s="73">
        <v>2259</v>
      </c>
      <c r="Y31" s="72">
        <v>2090</v>
      </c>
      <c r="Z31" s="70">
        <v>2122</v>
      </c>
      <c r="AA31" s="73">
        <v>2305</v>
      </c>
      <c r="AB31" s="72">
        <v>2132</v>
      </c>
      <c r="AC31" s="70">
        <v>1664</v>
      </c>
      <c r="AD31" s="71">
        <v>1808</v>
      </c>
      <c r="AE31" s="71">
        <v>1673</v>
      </c>
      <c r="AF31" s="70">
        <v>2081</v>
      </c>
      <c r="AG31" s="73">
        <v>2259</v>
      </c>
      <c r="AH31" s="72">
        <v>2090</v>
      </c>
      <c r="AI31" s="102">
        <v>648</v>
      </c>
    </row>
    <row r="32" spans="1:35" x14ac:dyDescent="0.25">
      <c r="A32" s="101" t="s">
        <v>31</v>
      </c>
      <c r="B32" s="70">
        <v>185</v>
      </c>
      <c r="C32" s="71">
        <v>178</v>
      </c>
      <c r="D32" s="72">
        <v>193</v>
      </c>
      <c r="E32" s="70">
        <v>444</v>
      </c>
      <c r="F32" s="71">
        <v>463</v>
      </c>
      <c r="G32" s="71">
        <v>452</v>
      </c>
      <c r="H32" s="70">
        <v>3234</v>
      </c>
      <c r="I32" s="73">
        <v>3738</v>
      </c>
      <c r="J32" s="72">
        <v>3404</v>
      </c>
      <c r="K32" s="70">
        <v>809</v>
      </c>
      <c r="L32" s="73">
        <v>915</v>
      </c>
      <c r="M32" s="72">
        <v>852</v>
      </c>
      <c r="N32" s="70">
        <v>2240</v>
      </c>
      <c r="O32" s="73">
        <v>2336</v>
      </c>
      <c r="P32" s="73">
        <v>2249</v>
      </c>
      <c r="Q32" s="70">
        <v>768</v>
      </c>
      <c r="R32" s="73">
        <v>869</v>
      </c>
      <c r="S32" s="72">
        <v>810</v>
      </c>
      <c r="T32" s="70">
        <v>2627</v>
      </c>
      <c r="U32" s="73">
        <v>2805</v>
      </c>
      <c r="V32" s="72">
        <v>2574</v>
      </c>
      <c r="W32" s="70">
        <v>2621</v>
      </c>
      <c r="X32" s="73">
        <v>2846</v>
      </c>
      <c r="Y32" s="72">
        <v>2633</v>
      </c>
      <c r="Z32" s="70">
        <v>2700</v>
      </c>
      <c r="AA32" s="73">
        <v>2934</v>
      </c>
      <c r="AB32" s="72">
        <v>2713</v>
      </c>
      <c r="AC32" s="70">
        <v>2096</v>
      </c>
      <c r="AD32" s="71">
        <v>2277</v>
      </c>
      <c r="AE32" s="71">
        <v>2107</v>
      </c>
      <c r="AF32" s="70">
        <v>2621</v>
      </c>
      <c r="AG32" s="73">
        <v>2846</v>
      </c>
      <c r="AH32" s="72">
        <v>2633</v>
      </c>
      <c r="AI32" s="102">
        <v>816</v>
      </c>
    </row>
    <row r="33" spans="1:35" x14ac:dyDescent="0.25">
      <c r="A33" s="101" t="s">
        <v>32</v>
      </c>
      <c r="B33" s="70">
        <v>235</v>
      </c>
      <c r="C33" s="71">
        <v>226</v>
      </c>
      <c r="D33" s="72">
        <v>245</v>
      </c>
      <c r="E33" s="70">
        <v>564</v>
      </c>
      <c r="F33" s="71">
        <v>588</v>
      </c>
      <c r="G33" s="71">
        <v>574</v>
      </c>
      <c r="H33" s="70">
        <v>4106</v>
      </c>
      <c r="I33" s="73">
        <v>4747</v>
      </c>
      <c r="J33" s="72">
        <v>4322</v>
      </c>
      <c r="K33" s="70">
        <v>1027</v>
      </c>
      <c r="L33" s="73">
        <v>1162</v>
      </c>
      <c r="M33" s="72">
        <v>1082</v>
      </c>
      <c r="N33" s="70">
        <v>2844</v>
      </c>
      <c r="O33" s="73">
        <v>2966</v>
      </c>
      <c r="P33" s="73">
        <v>2856</v>
      </c>
      <c r="Q33" s="70">
        <v>976</v>
      </c>
      <c r="R33" s="73">
        <v>1104</v>
      </c>
      <c r="S33" s="72">
        <v>1028</v>
      </c>
      <c r="T33" s="70">
        <v>3336</v>
      </c>
      <c r="U33" s="73">
        <v>3562</v>
      </c>
      <c r="V33" s="72">
        <v>3269</v>
      </c>
      <c r="W33" s="70">
        <v>3329</v>
      </c>
      <c r="X33" s="73">
        <v>3614</v>
      </c>
      <c r="Y33" s="72">
        <v>3343</v>
      </c>
      <c r="Z33" s="70">
        <v>3676</v>
      </c>
      <c r="AA33" s="73">
        <v>3823</v>
      </c>
      <c r="AB33" s="72">
        <v>3609</v>
      </c>
      <c r="AC33" s="70">
        <v>2662</v>
      </c>
      <c r="AD33" s="71">
        <v>2892</v>
      </c>
      <c r="AE33" s="71">
        <v>2676</v>
      </c>
      <c r="AF33" s="70">
        <v>3329</v>
      </c>
      <c r="AG33" s="73">
        <v>3614</v>
      </c>
      <c r="AH33" s="72">
        <v>3343</v>
      </c>
      <c r="AI33" s="102">
        <v>1037</v>
      </c>
    </row>
    <row r="34" spans="1:35" x14ac:dyDescent="0.25">
      <c r="A34" s="101" t="s">
        <v>33</v>
      </c>
      <c r="B34" s="70">
        <v>294</v>
      </c>
      <c r="C34" s="71">
        <v>282</v>
      </c>
      <c r="D34" s="72">
        <v>306</v>
      </c>
      <c r="E34" s="70">
        <v>705</v>
      </c>
      <c r="F34" s="71">
        <v>735</v>
      </c>
      <c r="G34" s="71">
        <v>717</v>
      </c>
      <c r="H34" s="70">
        <v>5133</v>
      </c>
      <c r="I34" s="73">
        <v>5934</v>
      </c>
      <c r="J34" s="72">
        <v>5403</v>
      </c>
      <c r="K34" s="70">
        <v>1284</v>
      </c>
      <c r="L34" s="73">
        <v>1452</v>
      </c>
      <c r="M34" s="72">
        <v>1353</v>
      </c>
      <c r="N34" s="70">
        <v>3555</v>
      </c>
      <c r="O34" s="73">
        <v>3708</v>
      </c>
      <c r="P34" s="73">
        <v>3570</v>
      </c>
      <c r="Q34" s="70">
        <v>1220</v>
      </c>
      <c r="R34" s="73">
        <v>1379</v>
      </c>
      <c r="S34" s="72">
        <v>1285</v>
      </c>
      <c r="T34" s="70">
        <v>4170</v>
      </c>
      <c r="U34" s="73">
        <v>4452</v>
      </c>
      <c r="V34" s="72">
        <v>4086</v>
      </c>
      <c r="W34" s="70">
        <v>4161</v>
      </c>
      <c r="X34" s="73">
        <v>4518</v>
      </c>
      <c r="Y34" s="72">
        <v>4179</v>
      </c>
      <c r="Z34" s="70">
        <v>5579</v>
      </c>
      <c r="AA34" s="73">
        <v>5567</v>
      </c>
      <c r="AB34" s="72">
        <v>5324</v>
      </c>
      <c r="AC34" s="70">
        <v>3327</v>
      </c>
      <c r="AD34" s="71">
        <v>3615</v>
      </c>
      <c r="AE34" s="71">
        <v>3345</v>
      </c>
      <c r="AF34" s="70">
        <v>4161</v>
      </c>
      <c r="AG34" s="73">
        <v>4518</v>
      </c>
      <c r="AH34" s="72">
        <v>4179</v>
      </c>
      <c r="AI34" s="102">
        <v>1296</v>
      </c>
    </row>
    <row r="35" spans="1:35" x14ac:dyDescent="0.25">
      <c r="A35" s="101" t="s">
        <v>34</v>
      </c>
      <c r="B35" s="70">
        <v>368</v>
      </c>
      <c r="C35" s="71">
        <v>353</v>
      </c>
      <c r="D35" s="72">
        <v>383</v>
      </c>
      <c r="E35" s="70">
        <v>881</v>
      </c>
      <c r="F35" s="71">
        <v>919</v>
      </c>
      <c r="G35" s="71">
        <v>896</v>
      </c>
      <c r="H35" s="70">
        <v>6416</v>
      </c>
      <c r="I35" s="73">
        <v>7418</v>
      </c>
      <c r="J35" s="72">
        <v>6754</v>
      </c>
      <c r="K35" s="70">
        <v>1605</v>
      </c>
      <c r="L35" s="73">
        <v>1815</v>
      </c>
      <c r="M35" s="72">
        <v>1691</v>
      </c>
      <c r="N35" s="70">
        <v>4444</v>
      </c>
      <c r="O35" s="73">
        <v>4635</v>
      </c>
      <c r="P35" s="73">
        <v>4463</v>
      </c>
      <c r="Q35" s="70">
        <v>1525</v>
      </c>
      <c r="R35" s="73">
        <v>1724</v>
      </c>
      <c r="S35" s="72">
        <v>1607</v>
      </c>
      <c r="T35" s="70">
        <v>5213</v>
      </c>
      <c r="U35" s="73">
        <v>5565</v>
      </c>
      <c r="V35" s="72">
        <v>5108</v>
      </c>
      <c r="W35" s="70">
        <v>5201</v>
      </c>
      <c r="X35" s="73">
        <v>5648</v>
      </c>
      <c r="Y35" s="72">
        <v>5224</v>
      </c>
      <c r="Z35" s="70">
        <v>8768</v>
      </c>
      <c r="AA35" s="73">
        <v>8750</v>
      </c>
      <c r="AB35" s="72">
        <v>8252</v>
      </c>
      <c r="AC35" s="70">
        <v>4159</v>
      </c>
      <c r="AD35" s="71">
        <v>4519</v>
      </c>
      <c r="AE35" s="71">
        <v>4181</v>
      </c>
      <c r="AF35" s="70">
        <v>5201</v>
      </c>
      <c r="AG35" s="73">
        <v>5648</v>
      </c>
      <c r="AH35" s="72">
        <v>5224</v>
      </c>
      <c r="AI35" s="102">
        <v>1620</v>
      </c>
    </row>
    <row r="36" spans="1:35" x14ac:dyDescent="0.25">
      <c r="A36" s="101" t="s">
        <v>35</v>
      </c>
      <c r="B36" s="70">
        <v>470</v>
      </c>
      <c r="C36" s="71">
        <v>451</v>
      </c>
      <c r="D36" s="72">
        <v>490</v>
      </c>
      <c r="E36" s="70">
        <v>1128</v>
      </c>
      <c r="F36" s="71">
        <v>1176</v>
      </c>
      <c r="G36" s="71">
        <v>1147</v>
      </c>
      <c r="H36" s="70">
        <v>8213</v>
      </c>
      <c r="I36" s="73">
        <v>9494</v>
      </c>
      <c r="J36" s="72">
        <v>8645</v>
      </c>
      <c r="K36" s="70">
        <v>2054</v>
      </c>
      <c r="L36" s="73">
        <v>2323</v>
      </c>
      <c r="M36" s="72">
        <v>2165</v>
      </c>
      <c r="N36" s="70">
        <v>5688</v>
      </c>
      <c r="O36" s="73">
        <v>5933</v>
      </c>
      <c r="P36" s="73">
        <v>5712</v>
      </c>
      <c r="Q36" s="70">
        <v>1952</v>
      </c>
      <c r="R36" s="73">
        <v>2207</v>
      </c>
      <c r="S36" s="72">
        <v>2057</v>
      </c>
      <c r="T36" s="70">
        <v>6672</v>
      </c>
      <c r="U36" s="73">
        <v>7123</v>
      </c>
      <c r="V36" s="72">
        <v>6538</v>
      </c>
      <c r="W36" s="70">
        <v>6658</v>
      </c>
      <c r="X36" s="73">
        <v>7229</v>
      </c>
      <c r="Y36" s="72">
        <v>6686</v>
      </c>
      <c r="Z36" s="70">
        <v>14411</v>
      </c>
      <c r="AA36" s="73">
        <v>14961</v>
      </c>
      <c r="AB36" s="72">
        <v>14175</v>
      </c>
      <c r="AC36" s="70">
        <v>5323</v>
      </c>
      <c r="AD36" s="71">
        <v>5784</v>
      </c>
      <c r="AE36" s="71">
        <v>5352</v>
      </c>
      <c r="AF36" s="70">
        <v>6658</v>
      </c>
      <c r="AG36" s="73">
        <v>7229</v>
      </c>
      <c r="AH36" s="72">
        <v>6686</v>
      </c>
      <c r="AI36" s="102">
        <v>2074</v>
      </c>
    </row>
    <row r="37" spans="1:35" x14ac:dyDescent="0.25">
      <c r="A37" s="101" t="s">
        <v>172</v>
      </c>
      <c r="B37" s="70">
        <v>2.94</v>
      </c>
      <c r="C37" s="71">
        <v>2.82</v>
      </c>
      <c r="D37" s="72">
        <v>3.06</v>
      </c>
      <c r="E37" s="70">
        <v>7.05</v>
      </c>
      <c r="F37" s="71">
        <v>7.35</v>
      </c>
      <c r="G37" s="71">
        <v>7.17</v>
      </c>
      <c r="H37" s="70">
        <v>51.33</v>
      </c>
      <c r="I37" s="73">
        <v>59.34</v>
      </c>
      <c r="J37" s="72">
        <v>54.03</v>
      </c>
      <c r="K37" s="70">
        <v>12.84</v>
      </c>
      <c r="L37" s="73">
        <v>14.52</v>
      </c>
      <c r="M37" s="72">
        <v>13.53</v>
      </c>
      <c r="N37" s="70">
        <v>35.549999999999997</v>
      </c>
      <c r="O37" s="73">
        <v>37.08</v>
      </c>
      <c r="P37" s="73">
        <v>35.700000000000003</v>
      </c>
      <c r="Q37" s="70">
        <v>12.2</v>
      </c>
      <c r="R37" s="73">
        <v>13.79</v>
      </c>
      <c r="S37" s="72">
        <v>12.85</v>
      </c>
      <c r="T37" s="70">
        <v>41.7</v>
      </c>
      <c r="U37" s="73">
        <v>44.52</v>
      </c>
      <c r="V37" s="72">
        <v>40.86</v>
      </c>
      <c r="W37" s="70">
        <v>41.61</v>
      </c>
      <c r="X37" s="73">
        <v>45.18</v>
      </c>
      <c r="Y37" s="72">
        <v>41.79</v>
      </c>
      <c r="Z37" s="70">
        <v>90.07</v>
      </c>
      <c r="AA37" s="73">
        <v>93.51</v>
      </c>
      <c r="AB37" s="72">
        <v>88.6</v>
      </c>
      <c r="AC37" s="70">
        <v>33.270000000000003</v>
      </c>
      <c r="AD37" s="71">
        <v>36.15</v>
      </c>
      <c r="AE37" s="71">
        <v>33.450000000000003</v>
      </c>
      <c r="AF37" s="70">
        <v>41.61</v>
      </c>
      <c r="AG37" s="73">
        <v>45.18</v>
      </c>
      <c r="AH37" s="72">
        <v>41.79</v>
      </c>
      <c r="AI37" s="102">
        <v>12.96</v>
      </c>
    </row>
    <row r="38" spans="1:35" x14ac:dyDescent="0.25">
      <c r="A38" s="101" t="s">
        <v>173</v>
      </c>
      <c r="B38" s="70">
        <v>0.98</v>
      </c>
      <c r="C38" s="71">
        <v>0.94</v>
      </c>
      <c r="D38" s="72">
        <v>1.02</v>
      </c>
      <c r="E38" s="70">
        <v>2.35</v>
      </c>
      <c r="F38" s="71">
        <v>2.4500000000000002</v>
      </c>
      <c r="G38" s="71">
        <v>2.39</v>
      </c>
      <c r="H38" s="70">
        <v>17.11</v>
      </c>
      <c r="I38" s="73">
        <v>19.78</v>
      </c>
      <c r="J38" s="72">
        <v>18.010000000000002</v>
      </c>
      <c r="K38" s="70">
        <v>4.28</v>
      </c>
      <c r="L38" s="73">
        <v>4.84</v>
      </c>
      <c r="M38" s="72">
        <v>4.51</v>
      </c>
      <c r="N38" s="70">
        <v>11.85</v>
      </c>
      <c r="O38" s="73">
        <v>12.36</v>
      </c>
      <c r="P38" s="73">
        <v>11.9</v>
      </c>
      <c r="Q38" s="70">
        <v>4.07</v>
      </c>
      <c r="R38" s="73">
        <v>4.5999999999999996</v>
      </c>
      <c r="S38" s="72">
        <v>4.28</v>
      </c>
      <c r="T38" s="70">
        <v>13.9</v>
      </c>
      <c r="U38" s="73">
        <v>14.84</v>
      </c>
      <c r="V38" s="72">
        <v>13.62</v>
      </c>
      <c r="W38" s="70">
        <v>13.87</v>
      </c>
      <c r="X38" s="73">
        <v>15.06</v>
      </c>
      <c r="Y38" s="72">
        <v>13.93</v>
      </c>
      <c r="Z38" s="70">
        <v>30.02</v>
      </c>
      <c r="AA38" s="73">
        <v>31.17</v>
      </c>
      <c r="AB38" s="72">
        <v>29.53</v>
      </c>
      <c r="AC38" s="70">
        <v>11.09</v>
      </c>
      <c r="AD38" s="71">
        <v>12.05</v>
      </c>
      <c r="AE38" s="71">
        <v>11.15</v>
      </c>
      <c r="AF38" s="70">
        <v>13.87</v>
      </c>
      <c r="AG38" s="73">
        <v>15.06</v>
      </c>
      <c r="AH38" s="72">
        <v>13.93</v>
      </c>
      <c r="AI38" s="102">
        <v>4.32</v>
      </c>
    </row>
    <row r="39" spans="1:35" x14ac:dyDescent="0.25">
      <c r="A39" s="103" t="s">
        <v>38</v>
      </c>
      <c r="B39" s="70"/>
      <c r="C39" s="71"/>
      <c r="D39" s="72"/>
      <c r="E39" s="70"/>
      <c r="F39" s="73"/>
      <c r="G39" s="72"/>
      <c r="H39" s="70"/>
      <c r="I39" s="73"/>
      <c r="J39" s="72"/>
      <c r="K39" s="70"/>
      <c r="L39" s="73"/>
      <c r="M39" s="72"/>
      <c r="N39" s="70"/>
      <c r="O39" s="73"/>
      <c r="P39" s="72"/>
      <c r="Q39" s="70"/>
      <c r="R39" s="73"/>
      <c r="S39" s="72"/>
      <c r="T39" s="70"/>
      <c r="U39" s="73"/>
      <c r="V39" s="72"/>
      <c r="W39" s="70"/>
      <c r="X39" s="73"/>
      <c r="Y39" s="72"/>
      <c r="Z39" s="70"/>
      <c r="AA39" s="73"/>
      <c r="AB39" s="72"/>
      <c r="AC39" s="70"/>
      <c r="AD39" s="73"/>
      <c r="AE39" s="72"/>
      <c r="AF39" s="70"/>
      <c r="AG39" s="73"/>
      <c r="AH39" s="72"/>
      <c r="AI39" s="102"/>
    </row>
    <row r="40" spans="1:35" x14ac:dyDescent="0.25">
      <c r="A40" s="104" t="s">
        <v>39</v>
      </c>
      <c r="B40" s="105">
        <v>2680.24</v>
      </c>
      <c r="C40" s="106">
        <v>3085.97</v>
      </c>
      <c r="D40" s="107">
        <v>3008.89</v>
      </c>
      <c r="E40" s="105">
        <v>2172.4499999999998</v>
      </c>
      <c r="F40" s="108">
        <v>2554.06</v>
      </c>
      <c r="G40" s="107">
        <v>2350.0700000000002</v>
      </c>
      <c r="H40" s="105">
        <v>1032.5899999999999</v>
      </c>
      <c r="I40" s="108">
        <v>1259.07</v>
      </c>
      <c r="J40" s="107">
        <v>1109.19</v>
      </c>
      <c r="K40" s="105">
        <v>1816.95</v>
      </c>
      <c r="L40" s="108">
        <v>2190.65</v>
      </c>
      <c r="M40" s="107">
        <v>2078.4</v>
      </c>
      <c r="N40" s="105">
        <v>1099.98</v>
      </c>
      <c r="O40" s="108">
        <v>1110.3399999999999</v>
      </c>
      <c r="P40" s="107">
        <v>1008.62</v>
      </c>
      <c r="Q40" s="105">
        <v>1816.95</v>
      </c>
      <c r="R40" s="108">
        <v>2190.65</v>
      </c>
      <c r="S40" s="107">
        <v>2078.4</v>
      </c>
      <c r="T40" s="105">
        <v>816.09</v>
      </c>
      <c r="U40" s="108">
        <v>896</v>
      </c>
      <c r="V40" s="107">
        <v>818.74</v>
      </c>
      <c r="W40" s="105">
        <v>251.98</v>
      </c>
      <c r="X40" s="108">
        <v>257.97000000000003</v>
      </c>
      <c r="Y40" s="107">
        <v>245.81</v>
      </c>
      <c r="Z40" s="105">
        <v>2680.24</v>
      </c>
      <c r="AA40" s="108">
        <v>3085.97</v>
      </c>
      <c r="AB40" s="107">
        <v>3008.89</v>
      </c>
      <c r="AC40" s="105">
        <v>251.98</v>
      </c>
      <c r="AD40" s="108">
        <v>257.97000000000003</v>
      </c>
      <c r="AE40" s="107">
        <v>245.81</v>
      </c>
      <c r="AF40" s="105">
        <v>251.98</v>
      </c>
      <c r="AG40" s="108">
        <v>257.97000000000003</v>
      </c>
      <c r="AH40" s="107">
        <v>245.81</v>
      </c>
      <c r="AI40" s="109">
        <v>371.62</v>
      </c>
    </row>
    <row r="41" spans="1:35" x14ac:dyDescent="0.25">
      <c r="A41" s="101" t="s">
        <v>40</v>
      </c>
      <c r="B41" s="94"/>
      <c r="C41" s="110"/>
      <c r="D41" s="93"/>
      <c r="E41" s="94"/>
      <c r="F41" s="92"/>
      <c r="G41" s="93"/>
      <c r="H41" s="94"/>
      <c r="I41" s="92"/>
      <c r="J41" s="93"/>
      <c r="K41" s="94">
        <v>173.98</v>
      </c>
      <c r="L41" s="92">
        <v>189.26</v>
      </c>
      <c r="M41" s="93">
        <v>135.91</v>
      </c>
      <c r="N41" s="94">
        <v>173.98</v>
      </c>
      <c r="O41" s="92">
        <v>189.26</v>
      </c>
      <c r="P41" s="93">
        <v>135.91</v>
      </c>
      <c r="Q41" s="94">
        <v>173.98</v>
      </c>
      <c r="R41" s="92">
        <v>189.26</v>
      </c>
      <c r="S41" s="93">
        <v>135.91</v>
      </c>
      <c r="T41" s="94">
        <v>173.98</v>
      </c>
      <c r="U41" s="92">
        <v>189.26</v>
      </c>
      <c r="V41" s="93">
        <v>135.91</v>
      </c>
      <c r="W41" s="94">
        <v>173.98</v>
      </c>
      <c r="X41" s="92">
        <v>189.26</v>
      </c>
      <c r="Y41" s="93">
        <v>135.91</v>
      </c>
      <c r="Z41" s="94">
        <v>173.98</v>
      </c>
      <c r="AA41" s="92">
        <v>189.26</v>
      </c>
      <c r="AB41" s="93">
        <v>135.91</v>
      </c>
      <c r="AC41" s="94">
        <v>173.98</v>
      </c>
      <c r="AD41" s="92">
        <v>189.26</v>
      </c>
      <c r="AE41" s="93">
        <v>135.91</v>
      </c>
      <c r="AF41" s="94">
        <v>173.98</v>
      </c>
      <c r="AG41" s="92">
        <v>189.26</v>
      </c>
      <c r="AH41" s="93">
        <v>135.91</v>
      </c>
      <c r="AI41" s="95"/>
    </row>
    <row r="42" spans="1:35" x14ac:dyDescent="0.25">
      <c r="A42" s="101" t="s">
        <v>41</v>
      </c>
      <c r="B42" s="70">
        <v>113.53</v>
      </c>
      <c r="C42" s="71">
        <f t="shared" ref="C42:R45" si="3">B42</f>
        <v>113.53</v>
      </c>
      <c r="D42" s="73">
        <f t="shared" si="3"/>
        <v>113.53</v>
      </c>
      <c r="E42" s="70">
        <f t="shared" si="3"/>
        <v>113.53</v>
      </c>
      <c r="F42" s="73">
        <f t="shared" si="3"/>
        <v>113.53</v>
      </c>
      <c r="G42" s="72">
        <f t="shared" si="3"/>
        <v>113.53</v>
      </c>
      <c r="H42" s="70">
        <f t="shared" si="3"/>
        <v>113.53</v>
      </c>
      <c r="I42" s="73">
        <f t="shared" si="3"/>
        <v>113.53</v>
      </c>
      <c r="J42" s="72">
        <f t="shared" si="3"/>
        <v>113.53</v>
      </c>
      <c r="K42" s="70">
        <f t="shared" si="3"/>
        <v>113.53</v>
      </c>
      <c r="L42" s="73">
        <f t="shared" si="3"/>
        <v>113.53</v>
      </c>
      <c r="M42" s="72">
        <f t="shared" si="3"/>
        <v>113.53</v>
      </c>
      <c r="N42" s="70">
        <f t="shared" si="3"/>
        <v>113.53</v>
      </c>
      <c r="O42" s="73">
        <f t="shared" si="3"/>
        <v>113.53</v>
      </c>
      <c r="P42" s="72">
        <f t="shared" si="3"/>
        <v>113.53</v>
      </c>
      <c r="Q42" s="70">
        <f t="shared" si="3"/>
        <v>113.53</v>
      </c>
      <c r="R42" s="73">
        <f t="shared" si="3"/>
        <v>113.53</v>
      </c>
      <c r="S42" s="72">
        <f t="shared" ref="S42:AH45" si="4">R42</f>
        <v>113.53</v>
      </c>
      <c r="T42" s="70">
        <f t="shared" si="4"/>
        <v>113.53</v>
      </c>
      <c r="U42" s="73">
        <f t="shared" si="4"/>
        <v>113.53</v>
      </c>
      <c r="V42" s="72">
        <f t="shared" si="4"/>
        <v>113.53</v>
      </c>
      <c r="W42" s="70">
        <f t="shared" si="4"/>
        <v>113.53</v>
      </c>
      <c r="X42" s="73">
        <f t="shared" si="4"/>
        <v>113.53</v>
      </c>
      <c r="Y42" s="72">
        <f t="shared" si="4"/>
        <v>113.53</v>
      </c>
      <c r="Z42" s="70">
        <f t="shared" si="4"/>
        <v>113.53</v>
      </c>
      <c r="AA42" s="73">
        <f t="shared" si="4"/>
        <v>113.53</v>
      </c>
      <c r="AB42" s="72">
        <f t="shared" si="4"/>
        <v>113.53</v>
      </c>
      <c r="AC42" s="70">
        <f t="shared" si="4"/>
        <v>113.53</v>
      </c>
      <c r="AD42" s="73">
        <f t="shared" si="4"/>
        <v>113.53</v>
      </c>
      <c r="AE42" s="72">
        <f t="shared" si="4"/>
        <v>113.53</v>
      </c>
      <c r="AF42" s="70">
        <f>AE42</f>
        <v>113.53</v>
      </c>
      <c r="AG42" s="73">
        <f t="shared" si="4"/>
        <v>113.53</v>
      </c>
      <c r="AH42" s="72">
        <f t="shared" si="4"/>
        <v>113.53</v>
      </c>
      <c r="AI42" s="102">
        <f>AH42</f>
        <v>113.53</v>
      </c>
    </row>
    <row r="43" spans="1:35" x14ac:dyDescent="0.25">
      <c r="A43" s="101" t="s">
        <v>42</v>
      </c>
      <c r="B43" s="70">
        <v>495</v>
      </c>
      <c r="C43" s="71">
        <f t="shared" si="3"/>
        <v>495</v>
      </c>
      <c r="D43" s="73">
        <f t="shared" si="3"/>
        <v>495</v>
      </c>
      <c r="E43" s="70">
        <f t="shared" si="3"/>
        <v>495</v>
      </c>
      <c r="F43" s="73">
        <f t="shared" si="3"/>
        <v>495</v>
      </c>
      <c r="G43" s="72">
        <f t="shared" si="3"/>
        <v>495</v>
      </c>
      <c r="H43" s="70">
        <f t="shared" si="3"/>
        <v>495</v>
      </c>
      <c r="I43" s="73">
        <f t="shared" si="3"/>
        <v>495</v>
      </c>
      <c r="J43" s="72">
        <f t="shared" si="3"/>
        <v>495</v>
      </c>
      <c r="K43" s="70">
        <f t="shared" si="3"/>
        <v>495</v>
      </c>
      <c r="L43" s="73">
        <f t="shared" si="3"/>
        <v>495</v>
      </c>
      <c r="M43" s="72">
        <f t="shared" si="3"/>
        <v>495</v>
      </c>
      <c r="N43" s="70">
        <f t="shared" si="3"/>
        <v>495</v>
      </c>
      <c r="O43" s="73">
        <f t="shared" si="3"/>
        <v>495</v>
      </c>
      <c r="P43" s="72">
        <f t="shared" si="3"/>
        <v>495</v>
      </c>
      <c r="Q43" s="70">
        <f t="shared" si="3"/>
        <v>495</v>
      </c>
      <c r="R43" s="73">
        <f t="shared" si="3"/>
        <v>495</v>
      </c>
      <c r="S43" s="72">
        <f t="shared" si="4"/>
        <v>495</v>
      </c>
      <c r="T43" s="70">
        <f t="shared" si="4"/>
        <v>495</v>
      </c>
      <c r="U43" s="73">
        <f t="shared" si="4"/>
        <v>495</v>
      </c>
      <c r="V43" s="72">
        <f t="shared" si="4"/>
        <v>495</v>
      </c>
      <c r="W43" s="70">
        <f t="shared" si="4"/>
        <v>495</v>
      </c>
      <c r="X43" s="73">
        <f t="shared" si="4"/>
        <v>495</v>
      </c>
      <c r="Y43" s="72">
        <f t="shared" si="4"/>
        <v>495</v>
      </c>
      <c r="Z43" s="70">
        <f t="shared" si="4"/>
        <v>495</v>
      </c>
      <c r="AA43" s="73">
        <f t="shared" si="4"/>
        <v>495</v>
      </c>
      <c r="AB43" s="72">
        <f t="shared" si="4"/>
        <v>495</v>
      </c>
      <c r="AC43" s="70">
        <f t="shared" si="4"/>
        <v>495</v>
      </c>
      <c r="AD43" s="73">
        <f t="shared" si="4"/>
        <v>495</v>
      </c>
      <c r="AE43" s="72">
        <f t="shared" si="4"/>
        <v>495</v>
      </c>
      <c r="AF43" s="70">
        <f t="shared" si="4"/>
        <v>495</v>
      </c>
      <c r="AG43" s="73">
        <f t="shared" si="4"/>
        <v>495</v>
      </c>
      <c r="AH43" s="72">
        <f t="shared" si="4"/>
        <v>495</v>
      </c>
      <c r="AI43" s="102">
        <f>AH43</f>
        <v>495</v>
      </c>
    </row>
    <row r="44" spans="1:35" x14ac:dyDescent="0.25">
      <c r="A44" s="101" t="s">
        <v>138</v>
      </c>
      <c r="B44" s="111">
        <v>11.84</v>
      </c>
      <c r="C44" s="112">
        <f t="shared" si="3"/>
        <v>11.84</v>
      </c>
      <c r="D44" s="113">
        <f t="shared" si="3"/>
        <v>11.84</v>
      </c>
      <c r="E44" s="112">
        <f t="shared" si="3"/>
        <v>11.84</v>
      </c>
      <c r="F44" s="112">
        <f t="shared" si="3"/>
        <v>11.84</v>
      </c>
      <c r="G44" s="113">
        <f t="shared" si="3"/>
        <v>11.84</v>
      </c>
      <c r="H44" s="112">
        <f t="shared" si="3"/>
        <v>11.84</v>
      </c>
      <c r="I44" s="112">
        <f t="shared" si="3"/>
        <v>11.84</v>
      </c>
      <c r="J44" s="113">
        <f t="shared" si="3"/>
        <v>11.84</v>
      </c>
      <c r="K44" s="112">
        <f t="shared" si="3"/>
        <v>11.84</v>
      </c>
      <c r="L44" s="112">
        <f t="shared" si="3"/>
        <v>11.84</v>
      </c>
      <c r="M44" s="113">
        <f t="shared" si="3"/>
        <v>11.84</v>
      </c>
      <c r="N44" s="112">
        <f t="shared" si="3"/>
        <v>11.84</v>
      </c>
      <c r="O44" s="112">
        <f t="shared" si="3"/>
        <v>11.84</v>
      </c>
      <c r="P44" s="113">
        <f t="shared" si="3"/>
        <v>11.84</v>
      </c>
      <c r="Q44" s="112">
        <f t="shared" si="3"/>
        <v>11.84</v>
      </c>
      <c r="R44" s="112">
        <f t="shared" si="3"/>
        <v>11.84</v>
      </c>
      <c r="S44" s="113">
        <f t="shared" si="4"/>
        <v>11.84</v>
      </c>
      <c r="T44" s="112">
        <f t="shared" si="4"/>
        <v>11.84</v>
      </c>
      <c r="U44" s="112">
        <f>T44</f>
        <v>11.84</v>
      </c>
      <c r="V44" s="113">
        <f>U44</f>
        <v>11.84</v>
      </c>
      <c r="W44" s="112">
        <f>V44</f>
        <v>11.84</v>
      </c>
      <c r="X44" s="112">
        <f>W44</f>
        <v>11.84</v>
      </c>
      <c r="Y44" s="113">
        <f>X44</f>
        <v>11.84</v>
      </c>
      <c r="Z44" s="112">
        <f t="shared" si="4"/>
        <v>11.84</v>
      </c>
      <c r="AA44" s="112">
        <f t="shared" si="4"/>
        <v>11.84</v>
      </c>
      <c r="AB44" s="113">
        <f t="shared" si="4"/>
        <v>11.84</v>
      </c>
      <c r="AC44" s="112">
        <f t="shared" si="4"/>
        <v>11.84</v>
      </c>
      <c r="AD44" s="112">
        <f>AC44</f>
        <v>11.84</v>
      </c>
      <c r="AE44" s="113">
        <f>AD44</f>
        <v>11.84</v>
      </c>
      <c r="AF44" s="112">
        <f>AE44</f>
        <v>11.84</v>
      </c>
      <c r="AG44" s="112">
        <f>AF44</f>
        <v>11.84</v>
      </c>
      <c r="AH44" s="113">
        <f>AG44</f>
        <v>11.84</v>
      </c>
      <c r="AI44" s="114">
        <f>AH44</f>
        <v>11.84</v>
      </c>
    </row>
    <row r="45" spans="1:35" ht="15.75" thickBot="1" x14ac:dyDescent="0.3">
      <c r="A45" s="115" t="s">
        <v>139</v>
      </c>
      <c r="B45" s="116">
        <v>4.2</v>
      </c>
      <c r="C45" s="117">
        <f t="shared" si="3"/>
        <v>4.2</v>
      </c>
      <c r="D45" s="118">
        <f t="shared" si="3"/>
        <v>4.2</v>
      </c>
      <c r="E45" s="117">
        <f t="shared" si="3"/>
        <v>4.2</v>
      </c>
      <c r="F45" s="119">
        <f t="shared" si="3"/>
        <v>4.2</v>
      </c>
      <c r="G45" s="118">
        <f t="shared" si="3"/>
        <v>4.2</v>
      </c>
      <c r="H45" s="116">
        <f t="shared" si="3"/>
        <v>4.2</v>
      </c>
      <c r="I45" s="119">
        <f t="shared" si="3"/>
        <v>4.2</v>
      </c>
      <c r="J45" s="118">
        <f t="shared" si="3"/>
        <v>4.2</v>
      </c>
      <c r="K45" s="116">
        <f t="shared" si="3"/>
        <v>4.2</v>
      </c>
      <c r="L45" s="119">
        <f t="shared" si="3"/>
        <v>4.2</v>
      </c>
      <c r="M45" s="118">
        <f t="shared" si="3"/>
        <v>4.2</v>
      </c>
      <c r="N45" s="117">
        <f t="shared" si="3"/>
        <v>4.2</v>
      </c>
      <c r="O45" s="119">
        <f t="shared" si="3"/>
        <v>4.2</v>
      </c>
      <c r="P45" s="118">
        <f t="shared" si="3"/>
        <v>4.2</v>
      </c>
      <c r="Q45" s="117">
        <f t="shared" si="3"/>
        <v>4.2</v>
      </c>
      <c r="R45" s="119">
        <f t="shared" si="3"/>
        <v>4.2</v>
      </c>
      <c r="S45" s="118">
        <f t="shared" si="4"/>
        <v>4.2</v>
      </c>
      <c r="T45" s="117">
        <f t="shared" si="4"/>
        <v>4.2</v>
      </c>
      <c r="U45" s="119">
        <f t="shared" si="4"/>
        <v>4.2</v>
      </c>
      <c r="V45" s="118">
        <f t="shared" si="4"/>
        <v>4.2</v>
      </c>
      <c r="W45" s="116">
        <f t="shared" si="4"/>
        <v>4.2</v>
      </c>
      <c r="X45" s="119">
        <f t="shared" si="4"/>
        <v>4.2</v>
      </c>
      <c r="Y45" s="118">
        <f t="shared" si="4"/>
        <v>4.2</v>
      </c>
      <c r="Z45" s="116">
        <f t="shared" si="4"/>
        <v>4.2</v>
      </c>
      <c r="AA45" s="119">
        <f t="shared" si="4"/>
        <v>4.2</v>
      </c>
      <c r="AB45" s="118">
        <f t="shared" si="4"/>
        <v>4.2</v>
      </c>
      <c r="AC45" s="116">
        <f t="shared" si="4"/>
        <v>4.2</v>
      </c>
      <c r="AD45" s="119">
        <f t="shared" si="4"/>
        <v>4.2</v>
      </c>
      <c r="AE45" s="118">
        <f t="shared" si="4"/>
        <v>4.2</v>
      </c>
      <c r="AF45" s="116">
        <f t="shared" si="4"/>
        <v>4.2</v>
      </c>
      <c r="AG45" s="119">
        <f t="shared" si="4"/>
        <v>4.2</v>
      </c>
      <c r="AH45" s="118">
        <f t="shared" si="4"/>
        <v>4.2</v>
      </c>
      <c r="AI45" s="120">
        <f>AH45</f>
        <v>4.2</v>
      </c>
    </row>
    <row r="46" spans="1:35" x14ac:dyDescent="0.25">
      <c r="A46" s="101" t="s">
        <v>140</v>
      </c>
      <c r="B46" s="121">
        <f>B19+B40+B42+B43</f>
        <v>6388.7699999999995</v>
      </c>
      <c r="C46" s="121">
        <f t="shared" ref="C46:AH46" si="5">C19+C40+C42+C43</f>
        <v>6794.4999999999991</v>
      </c>
      <c r="D46" s="122">
        <f t="shared" si="5"/>
        <v>6717.4199999999992</v>
      </c>
      <c r="E46" s="123">
        <f t="shared" si="5"/>
        <v>5880.98</v>
      </c>
      <c r="F46" s="121">
        <f t="shared" si="5"/>
        <v>6262.5899999999992</v>
      </c>
      <c r="G46" s="122">
        <f t="shared" si="5"/>
        <v>6058.5999999999995</v>
      </c>
      <c r="H46" s="121">
        <f t="shared" si="5"/>
        <v>4741.12</v>
      </c>
      <c r="I46" s="121">
        <f t="shared" si="5"/>
        <v>4967.5999999999995</v>
      </c>
      <c r="J46" s="122">
        <f t="shared" si="5"/>
        <v>4817.72</v>
      </c>
      <c r="K46" s="121">
        <f t="shared" si="5"/>
        <v>5525.48</v>
      </c>
      <c r="L46" s="121">
        <f t="shared" si="5"/>
        <v>5899.1799999999994</v>
      </c>
      <c r="M46" s="122">
        <f t="shared" si="5"/>
        <v>5786.9299999999994</v>
      </c>
      <c r="N46" s="123">
        <f t="shared" si="5"/>
        <v>4808.5099999999993</v>
      </c>
      <c r="O46" s="121">
        <f t="shared" si="5"/>
        <v>4818.87</v>
      </c>
      <c r="P46" s="122">
        <f t="shared" si="5"/>
        <v>4717.1499999999996</v>
      </c>
      <c r="Q46" s="123">
        <f>Q19+Q40+Q42+Q43</f>
        <v>5525.48</v>
      </c>
      <c r="R46" s="121">
        <f>R19+R40+R42+R43</f>
        <v>5899.1799999999994</v>
      </c>
      <c r="S46" s="122">
        <f>S19+S40+S42+S43</f>
        <v>5786.9299999999994</v>
      </c>
      <c r="T46" s="121">
        <f t="shared" si="5"/>
        <v>4524.6200000000008</v>
      </c>
      <c r="U46" s="121">
        <f t="shared" si="5"/>
        <v>4604.53</v>
      </c>
      <c r="V46" s="122">
        <f t="shared" si="5"/>
        <v>4527.2700000000004</v>
      </c>
      <c r="W46" s="121">
        <f t="shared" si="5"/>
        <v>3960.51</v>
      </c>
      <c r="X46" s="121">
        <f t="shared" si="5"/>
        <v>3966.5000000000005</v>
      </c>
      <c r="Y46" s="122">
        <f t="shared" si="5"/>
        <v>3954.34</v>
      </c>
      <c r="Z46" s="121">
        <f>Z19+Z40+Z42+Z43</f>
        <v>6388.7699999999995</v>
      </c>
      <c r="AA46" s="121">
        <f>AA19+AA40+AA42+AA43</f>
        <v>6794.4999999999991</v>
      </c>
      <c r="AB46" s="122">
        <f>AB19+AB40+AB42+AB43</f>
        <v>6717.4199999999992</v>
      </c>
      <c r="AC46" s="121">
        <f t="shared" si="5"/>
        <v>3960.51</v>
      </c>
      <c r="AD46" s="121">
        <f t="shared" si="5"/>
        <v>3966.5000000000005</v>
      </c>
      <c r="AE46" s="122">
        <f t="shared" si="5"/>
        <v>3954.34</v>
      </c>
      <c r="AF46" s="121">
        <f t="shared" si="5"/>
        <v>3960.51</v>
      </c>
      <c r="AG46" s="121">
        <f t="shared" si="5"/>
        <v>3966.5000000000005</v>
      </c>
      <c r="AH46" s="122">
        <f t="shared" si="5"/>
        <v>3954.34</v>
      </c>
      <c r="AI46" s="124">
        <f>AI19+AI40+AI42+AI43</f>
        <v>4080.15</v>
      </c>
    </row>
    <row r="47" spans="1:35" ht="15.75" thickBot="1" x14ac:dyDescent="0.3">
      <c r="A47" s="125" t="s">
        <v>141</v>
      </c>
      <c r="B47" s="126"/>
      <c r="C47" s="126"/>
      <c r="D47" s="127"/>
      <c r="E47" s="126"/>
      <c r="F47" s="126"/>
      <c r="G47" s="127"/>
      <c r="H47" s="126"/>
      <c r="I47" s="126"/>
      <c r="J47" s="127"/>
      <c r="K47" s="126">
        <f>K19+K41+K42+K43</f>
        <v>3882.51</v>
      </c>
      <c r="L47" s="126">
        <f t="shared" ref="L47:AH47" si="6">L19+L41+L42+L43</f>
        <v>3897.7900000000004</v>
      </c>
      <c r="M47" s="127">
        <f t="shared" si="6"/>
        <v>3844.44</v>
      </c>
      <c r="N47" s="128">
        <f t="shared" si="6"/>
        <v>3882.51</v>
      </c>
      <c r="O47" s="126">
        <f t="shared" si="6"/>
        <v>3897.7900000000004</v>
      </c>
      <c r="P47" s="127">
        <f t="shared" si="6"/>
        <v>3844.44</v>
      </c>
      <c r="Q47" s="128">
        <f>Q19+Q41+Q42+Q43</f>
        <v>3882.51</v>
      </c>
      <c r="R47" s="126">
        <f>R19+R41+R42+R43</f>
        <v>3897.7900000000004</v>
      </c>
      <c r="S47" s="127">
        <f>S19+S41+S42+S43</f>
        <v>3844.44</v>
      </c>
      <c r="T47" s="126">
        <f t="shared" si="6"/>
        <v>3882.51</v>
      </c>
      <c r="U47" s="126">
        <f t="shared" si="6"/>
        <v>3897.7900000000004</v>
      </c>
      <c r="V47" s="127">
        <f t="shared" si="6"/>
        <v>3844.44</v>
      </c>
      <c r="W47" s="126">
        <f t="shared" si="6"/>
        <v>3882.51</v>
      </c>
      <c r="X47" s="126">
        <f t="shared" si="6"/>
        <v>3897.7900000000004</v>
      </c>
      <c r="Y47" s="127">
        <f t="shared" si="6"/>
        <v>3844.44</v>
      </c>
      <c r="Z47" s="126">
        <f>Z19+Z41+Z42+Z43</f>
        <v>3882.51</v>
      </c>
      <c r="AA47" s="126">
        <f>AA19+AA41+AA42+AA43</f>
        <v>3897.7900000000004</v>
      </c>
      <c r="AB47" s="127">
        <f>AB19+AB41+AB42+AB43</f>
        <v>3844.44</v>
      </c>
      <c r="AC47" s="126">
        <f t="shared" si="6"/>
        <v>3882.51</v>
      </c>
      <c r="AD47" s="126">
        <f t="shared" si="6"/>
        <v>3897.7900000000004</v>
      </c>
      <c r="AE47" s="127">
        <f t="shared" si="6"/>
        <v>3844.44</v>
      </c>
      <c r="AF47" s="126">
        <f t="shared" si="6"/>
        <v>3882.51</v>
      </c>
      <c r="AG47" s="126">
        <f t="shared" si="6"/>
        <v>3897.7900000000004</v>
      </c>
      <c r="AH47" s="127">
        <f t="shared" si="6"/>
        <v>3844.44</v>
      </c>
      <c r="AI47" s="129"/>
    </row>
    <row r="48" spans="1:35" ht="17.25" thickTop="1" x14ac:dyDescent="0.25">
      <c r="A48" s="12" t="s">
        <v>43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ht="15.75" thickBot="1" x14ac:dyDescent="0.3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ht="18" customHeight="1" thickTop="1" thickBot="1" x14ac:dyDescent="0.3">
      <c r="A50" s="74"/>
      <c r="B50" s="210" t="s">
        <v>44</v>
      </c>
      <c r="C50" s="211"/>
      <c r="D50" s="212"/>
      <c r="E50" s="210" t="s">
        <v>45</v>
      </c>
      <c r="F50" s="211"/>
      <c r="G50" s="212"/>
      <c r="H50" s="210" t="s">
        <v>46</v>
      </c>
      <c r="I50" s="211"/>
      <c r="J50" s="212"/>
      <c r="K50" s="210" t="s">
        <v>47</v>
      </c>
      <c r="L50" s="211"/>
      <c r="M50" s="212"/>
      <c r="N50" s="210" t="s">
        <v>164</v>
      </c>
      <c r="O50" s="211"/>
      <c r="P50" s="212"/>
      <c r="Q50" s="210" t="s">
        <v>132</v>
      </c>
      <c r="R50" s="211"/>
      <c r="S50" s="212"/>
      <c r="T50" s="210" t="s">
        <v>48</v>
      </c>
      <c r="U50" s="211"/>
      <c r="V50" s="212"/>
      <c r="W50" s="210" t="s">
        <v>49</v>
      </c>
      <c r="X50" s="211"/>
      <c r="Y50" s="212"/>
      <c r="Z50" s="210" t="s">
        <v>145</v>
      </c>
      <c r="AA50" s="211"/>
      <c r="AB50" s="212"/>
      <c r="AC50" s="10"/>
      <c r="AD50" s="10"/>
      <c r="AE50" s="10"/>
      <c r="AF50" s="10"/>
    </row>
    <row r="51" spans="1:32" ht="16.5" x14ac:dyDescent="0.25">
      <c r="A51" s="76" t="s">
        <v>18</v>
      </c>
      <c r="B51" s="130"/>
      <c r="C51" s="78"/>
      <c r="D51" s="79"/>
      <c r="E51" s="130"/>
      <c r="F51" s="78"/>
      <c r="G51" s="79"/>
      <c r="H51" s="130"/>
      <c r="I51" s="78"/>
      <c r="J51" s="79"/>
      <c r="K51" s="130"/>
      <c r="L51" s="78"/>
      <c r="M51" s="79"/>
      <c r="N51" s="130"/>
      <c r="O51" s="78"/>
      <c r="P51" s="79"/>
      <c r="Q51" s="130"/>
      <c r="R51" s="78"/>
      <c r="S51" s="79"/>
      <c r="T51" s="130"/>
      <c r="U51" s="78"/>
      <c r="V51" s="79"/>
      <c r="W51" s="130"/>
      <c r="X51" s="78"/>
      <c r="Y51" s="79"/>
      <c r="Z51" s="130"/>
      <c r="AA51" s="78"/>
      <c r="AB51" s="131"/>
      <c r="AC51" s="12"/>
      <c r="AD51" s="10"/>
      <c r="AE51" s="10"/>
      <c r="AF51" s="12"/>
    </row>
    <row r="52" spans="1:32" x14ac:dyDescent="0.25">
      <c r="A52" s="82" t="str">
        <f>A18</f>
        <v>Silová elektřina se skládá:</v>
      </c>
      <c r="B52" s="84">
        <f>$B$19</f>
        <v>3100</v>
      </c>
      <c r="C52" s="84">
        <f t="shared" ref="C52:AB53" si="7">$B$19</f>
        <v>3100</v>
      </c>
      <c r="D52" s="84">
        <f t="shared" si="7"/>
        <v>3100</v>
      </c>
      <c r="E52" s="84">
        <f t="shared" si="7"/>
        <v>3100</v>
      </c>
      <c r="F52" s="84">
        <f t="shared" si="7"/>
        <v>3100</v>
      </c>
      <c r="G52" s="84">
        <f t="shared" si="7"/>
        <v>3100</v>
      </c>
      <c r="H52" s="84">
        <f t="shared" si="7"/>
        <v>3100</v>
      </c>
      <c r="I52" s="84">
        <f t="shared" si="7"/>
        <v>3100</v>
      </c>
      <c r="J52" s="84">
        <f t="shared" si="7"/>
        <v>3100</v>
      </c>
      <c r="K52" s="84">
        <f t="shared" si="7"/>
        <v>3100</v>
      </c>
      <c r="L52" s="84">
        <f t="shared" si="7"/>
        <v>3100</v>
      </c>
      <c r="M52" s="84">
        <f t="shared" si="7"/>
        <v>3100</v>
      </c>
      <c r="N52" s="84">
        <f t="shared" si="7"/>
        <v>3100</v>
      </c>
      <c r="O52" s="84">
        <f t="shared" si="7"/>
        <v>3100</v>
      </c>
      <c r="P52" s="84">
        <f t="shared" si="7"/>
        <v>3100</v>
      </c>
      <c r="Q52" s="84">
        <f t="shared" si="7"/>
        <v>3100</v>
      </c>
      <c r="R52" s="84">
        <f t="shared" si="7"/>
        <v>3100</v>
      </c>
      <c r="S52" s="84">
        <f t="shared" si="7"/>
        <v>3100</v>
      </c>
      <c r="T52" s="84">
        <f t="shared" si="7"/>
        <v>3100</v>
      </c>
      <c r="U52" s="84">
        <f t="shared" si="7"/>
        <v>3100</v>
      </c>
      <c r="V52" s="84">
        <f t="shared" si="7"/>
        <v>3100</v>
      </c>
      <c r="W52" s="84">
        <f t="shared" si="7"/>
        <v>3100</v>
      </c>
      <c r="X52" s="84">
        <f t="shared" si="7"/>
        <v>3100</v>
      </c>
      <c r="Y52" s="84">
        <f t="shared" si="7"/>
        <v>3100</v>
      </c>
      <c r="Z52" s="84">
        <f t="shared" si="7"/>
        <v>3100</v>
      </c>
      <c r="AA52" s="84">
        <f t="shared" si="7"/>
        <v>3100</v>
      </c>
      <c r="AB52" s="84">
        <f t="shared" si="7"/>
        <v>3100</v>
      </c>
      <c r="AC52" s="10"/>
      <c r="AD52" s="10"/>
      <c r="AE52" s="10"/>
      <c r="AF52" s="10"/>
    </row>
    <row r="53" spans="1:32" x14ac:dyDescent="0.25">
      <c r="A53" s="132" t="str">
        <f>A19</f>
        <v xml:space="preserve"> - z platu za množství odebrané elektřiny ve VT v Kč/MWh</v>
      </c>
      <c r="B53" s="68"/>
      <c r="C53" s="133"/>
      <c r="D53" s="134"/>
      <c r="E53" s="135"/>
      <c r="F53" s="133"/>
      <c r="G53" s="134"/>
      <c r="H53" s="84">
        <f t="shared" si="7"/>
        <v>3100</v>
      </c>
      <c r="I53" s="84">
        <f t="shared" si="7"/>
        <v>3100</v>
      </c>
      <c r="J53" s="84">
        <f t="shared" si="7"/>
        <v>3100</v>
      </c>
      <c r="K53" s="84">
        <f t="shared" si="7"/>
        <v>3100</v>
      </c>
      <c r="L53" s="84">
        <f t="shared" si="7"/>
        <v>3100</v>
      </c>
      <c r="M53" s="84">
        <f t="shared" si="7"/>
        <v>3100</v>
      </c>
      <c r="N53" s="84">
        <f t="shared" si="7"/>
        <v>3100</v>
      </c>
      <c r="O53" s="84">
        <f t="shared" si="7"/>
        <v>3100</v>
      </c>
      <c r="P53" s="84">
        <f t="shared" si="7"/>
        <v>3100</v>
      </c>
      <c r="Q53" s="84">
        <f t="shared" si="7"/>
        <v>3100</v>
      </c>
      <c r="R53" s="84">
        <f t="shared" si="7"/>
        <v>3100</v>
      </c>
      <c r="S53" s="84">
        <f t="shared" si="7"/>
        <v>3100</v>
      </c>
      <c r="T53" s="68">
        <f>W20</f>
        <v>2700</v>
      </c>
      <c r="U53" s="133">
        <f>T53</f>
        <v>2700</v>
      </c>
      <c r="V53" s="134">
        <f t="shared" ref="V53:AB53" si="8">U53</f>
        <v>2700</v>
      </c>
      <c r="W53" s="135">
        <f t="shared" si="8"/>
        <v>2700</v>
      </c>
      <c r="X53" s="133">
        <f t="shared" si="8"/>
        <v>2700</v>
      </c>
      <c r="Y53" s="134">
        <f t="shared" si="8"/>
        <v>2700</v>
      </c>
      <c r="Z53" s="135">
        <f t="shared" si="8"/>
        <v>2700</v>
      </c>
      <c r="AA53" s="133">
        <f t="shared" si="8"/>
        <v>2700</v>
      </c>
      <c r="AB53" s="136">
        <f t="shared" si="8"/>
        <v>2700</v>
      </c>
      <c r="AC53" s="10"/>
      <c r="AD53" s="10"/>
      <c r="AE53" s="10"/>
      <c r="AF53" s="10"/>
    </row>
    <row r="54" spans="1:32" ht="15.75" thickBot="1" x14ac:dyDescent="0.3">
      <c r="A54" s="86" t="s">
        <v>19</v>
      </c>
      <c r="B54" s="137">
        <f>B21</f>
        <v>29</v>
      </c>
      <c r="C54" s="138">
        <f>B54</f>
        <v>29</v>
      </c>
      <c r="D54" s="139">
        <f t="shared" ref="D54:AB54" si="9">C54</f>
        <v>29</v>
      </c>
      <c r="E54" s="137">
        <f t="shared" si="9"/>
        <v>29</v>
      </c>
      <c r="F54" s="138">
        <f t="shared" si="9"/>
        <v>29</v>
      </c>
      <c r="G54" s="139">
        <f t="shared" si="9"/>
        <v>29</v>
      </c>
      <c r="H54" s="137">
        <f t="shared" si="9"/>
        <v>29</v>
      </c>
      <c r="I54" s="138">
        <f t="shared" si="9"/>
        <v>29</v>
      </c>
      <c r="J54" s="139">
        <f t="shared" si="9"/>
        <v>29</v>
      </c>
      <c r="K54" s="137">
        <f t="shared" si="9"/>
        <v>29</v>
      </c>
      <c r="L54" s="138">
        <f t="shared" si="9"/>
        <v>29</v>
      </c>
      <c r="M54" s="139">
        <f t="shared" si="9"/>
        <v>29</v>
      </c>
      <c r="N54" s="137">
        <f>M54</f>
        <v>29</v>
      </c>
      <c r="O54" s="138">
        <f>N54</f>
        <v>29</v>
      </c>
      <c r="P54" s="139">
        <f>O54</f>
        <v>29</v>
      </c>
      <c r="Q54" s="137">
        <f>M54</f>
        <v>29</v>
      </c>
      <c r="R54" s="138">
        <f t="shared" si="9"/>
        <v>29</v>
      </c>
      <c r="S54" s="139">
        <f t="shared" si="9"/>
        <v>29</v>
      </c>
      <c r="T54" s="137">
        <f t="shared" si="9"/>
        <v>29</v>
      </c>
      <c r="U54" s="138">
        <f t="shared" si="9"/>
        <v>29</v>
      </c>
      <c r="V54" s="139">
        <f t="shared" si="9"/>
        <v>29</v>
      </c>
      <c r="W54" s="137">
        <f t="shared" si="9"/>
        <v>29</v>
      </c>
      <c r="X54" s="138">
        <f t="shared" si="9"/>
        <v>29</v>
      </c>
      <c r="Y54" s="139">
        <f t="shared" si="9"/>
        <v>29</v>
      </c>
      <c r="Z54" s="137">
        <f t="shared" si="9"/>
        <v>29</v>
      </c>
      <c r="AA54" s="138">
        <f t="shared" si="9"/>
        <v>29</v>
      </c>
      <c r="AB54" s="140">
        <f t="shared" si="9"/>
        <v>29</v>
      </c>
      <c r="AC54" s="10"/>
      <c r="AD54" s="10"/>
      <c r="AE54" s="10"/>
      <c r="AF54" s="10"/>
    </row>
    <row r="55" spans="1:32" x14ac:dyDescent="0.25">
      <c r="A55" s="76" t="s">
        <v>20</v>
      </c>
      <c r="B55" s="141"/>
      <c r="C55" s="78"/>
      <c r="D55" s="79"/>
      <c r="E55" s="141"/>
      <c r="F55" s="78"/>
      <c r="G55" s="79"/>
      <c r="H55" s="141"/>
      <c r="I55" s="78"/>
      <c r="J55" s="79"/>
      <c r="K55" s="141"/>
      <c r="L55" s="78"/>
      <c r="M55" s="79"/>
      <c r="N55" s="141"/>
      <c r="O55" s="78"/>
      <c r="P55" s="79"/>
      <c r="Q55" s="141"/>
      <c r="R55" s="78"/>
      <c r="S55" s="79"/>
      <c r="T55" s="141"/>
      <c r="U55" s="78"/>
      <c r="V55" s="79"/>
      <c r="W55" s="141"/>
      <c r="X55" s="78"/>
      <c r="Y55" s="79"/>
      <c r="Z55" s="141"/>
      <c r="AA55" s="78"/>
      <c r="AB55" s="131"/>
      <c r="AC55" s="10"/>
      <c r="AD55" s="10"/>
      <c r="AE55" s="10"/>
      <c r="AF55" s="10"/>
    </row>
    <row r="56" spans="1:32" x14ac:dyDescent="0.25">
      <c r="A56" s="91" t="s">
        <v>21</v>
      </c>
      <c r="B56" s="110"/>
      <c r="C56" s="92"/>
      <c r="D56" s="93"/>
      <c r="E56" s="110"/>
      <c r="F56" s="92"/>
      <c r="G56" s="93"/>
      <c r="H56" s="110"/>
      <c r="I56" s="92"/>
      <c r="J56" s="93"/>
      <c r="K56" s="110"/>
      <c r="L56" s="92"/>
      <c r="M56" s="93"/>
      <c r="N56" s="110"/>
      <c r="O56" s="92"/>
      <c r="P56" s="93"/>
      <c r="Q56" s="110"/>
      <c r="R56" s="92"/>
      <c r="S56" s="93"/>
      <c r="T56" s="110"/>
      <c r="U56" s="92"/>
      <c r="V56" s="93"/>
      <c r="W56" s="110"/>
      <c r="X56" s="92"/>
      <c r="Y56" s="93"/>
      <c r="Z56" s="110"/>
      <c r="AA56" s="92"/>
      <c r="AB56" s="142"/>
      <c r="AC56" s="10"/>
      <c r="AD56" s="10"/>
      <c r="AE56" s="10"/>
      <c r="AF56" s="10"/>
    </row>
    <row r="57" spans="1:32" x14ac:dyDescent="0.25">
      <c r="A57" s="96"/>
      <c r="B57" s="97" t="s">
        <v>23</v>
      </c>
      <c r="C57" s="98" t="str">
        <f>C24</f>
        <v>EG.D</v>
      </c>
      <c r="D57" s="99" t="s">
        <v>22</v>
      </c>
      <c r="E57" s="97" t="s">
        <v>23</v>
      </c>
      <c r="F57" s="98" t="str">
        <f>F24</f>
        <v>EG.D</v>
      </c>
      <c r="G57" s="99" t="s">
        <v>22</v>
      </c>
      <c r="H57" s="97" t="s">
        <v>23</v>
      </c>
      <c r="I57" s="98" t="str">
        <f>I24</f>
        <v>EG.D</v>
      </c>
      <c r="J57" s="99" t="s">
        <v>22</v>
      </c>
      <c r="K57" s="97" t="s">
        <v>23</v>
      </c>
      <c r="L57" s="98" t="str">
        <f>L24</f>
        <v>EG.D</v>
      </c>
      <c r="M57" s="99" t="s">
        <v>22</v>
      </c>
      <c r="N57" s="97" t="s">
        <v>23</v>
      </c>
      <c r="O57" s="98" t="str">
        <f>O24</f>
        <v>EG.D</v>
      </c>
      <c r="P57" s="99" t="s">
        <v>22</v>
      </c>
      <c r="Q57" s="97" t="s">
        <v>23</v>
      </c>
      <c r="R57" s="98" t="str">
        <f>R24</f>
        <v>EG.D</v>
      </c>
      <c r="S57" s="99" t="s">
        <v>22</v>
      </c>
      <c r="T57" s="97" t="s">
        <v>23</v>
      </c>
      <c r="U57" s="98" t="str">
        <f>U24</f>
        <v>EG.D</v>
      </c>
      <c r="V57" s="99" t="s">
        <v>22</v>
      </c>
      <c r="W57" s="97" t="s">
        <v>23</v>
      </c>
      <c r="X57" s="98" t="str">
        <f>X24</f>
        <v>EG.D</v>
      </c>
      <c r="Y57" s="99" t="s">
        <v>22</v>
      </c>
      <c r="Z57" s="97" t="s">
        <v>23</v>
      </c>
      <c r="AA57" s="98" t="str">
        <f>AA24</f>
        <v>EG.D</v>
      </c>
      <c r="AB57" s="143" t="s">
        <v>22</v>
      </c>
      <c r="AC57" s="10"/>
      <c r="AD57" s="10"/>
      <c r="AE57" s="10"/>
      <c r="AF57" s="10"/>
    </row>
    <row r="58" spans="1:32" x14ac:dyDescent="0.25">
      <c r="A58" s="101" t="s">
        <v>24</v>
      </c>
      <c r="B58" s="70">
        <v>21</v>
      </c>
      <c r="C58" s="71">
        <v>19</v>
      </c>
      <c r="D58" s="72">
        <v>21</v>
      </c>
      <c r="E58" s="70">
        <v>55</v>
      </c>
      <c r="F58" s="73">
        <v>53</v>
      </c>
      <c r="G58" s="72">
        <v>51</v>
      </c>
      <c r="H58" s="70">
        <v>62</v>
      </c>
      <c r="I58" s="73">
        <v>61</v>
      </c>
      <c r="J58" s="72">
        <v>57</v>
      </c>
      <c r="K58" s="70">
        <v>92</v>
      </c>
      <c r="L58" s="73">
        <v>98</v>
      </c>
      <c r="M58" s="72">
        <v>92</v>
      </c>
      <c r="N58" s="70">
        <v>59</v>
      </c>
      <c r="O58" s="73">
        <v>58</v>
      </c>
      <c r="P58" s="72">
        <v>54</v>
      </c>
      <c r="Q58" s="70">
        <v>117</v>
      </c>
      <c r="R58" s="73">
        <v>115</v>
      </c>
      <c r="S58" s="72">
        <v>107</v>
      </c>
      <c r="T58" s="70">
        <v>136</v>
      </c>
      <c r="U58" s="73">
        <v>128</v>
      </c>
      <c r="V58" s="72">
        <v>124</v>
      </c>
      <c r="W58" s="70">
        <v>136</v>
      </c>
      <c r="X58" s="73">
        <v>128</v>
      </c>
      <c r="Y58" s="72">
        <v>124</v>
      </c>
      <c r="Z58" s="70">
        <v>136</v>
      </c>
      <c r="AA58" s="73">
        <v>128</v>
      </c>
      <c r="AB58" s="144">
        <v>134</v>
      </c>
      <c r="AC58" s="10"/>
      <c r="AD58" s="10"/>
      <c r="AE58" s="10"/>
      <c r="AF58" s="10"/>
    </row>
    <row r="59" spans="1:32" x14ac:dyDescent="0.25">
      <c r="A59" s="101" t="s">
        <v>25</v>
      </c>
      <c r="B59" s="70">
        <v>34</v>
      </c>
      <c r="C59" s="71">
        <v>30</v>
      </c>
      <c r="D59" s="72">
        <v>33</v>
      </c>
      <c r="E59" s="70">
        <v>88</v>
      </c>
      <c r="F59" s="73">
        <v>84</v>
      </c>
      <c r="G59" s="72">
        <v>82</v>
      </c>
      <c r="H59" s="70">
        <v>99</v>
      </c>
      <c r="I59" s="73">
        <v>97</v>
      </c>
      <c r="J59" s="72">
        <v>91</v>
      </c>
      <c r="K59" s="70">
        <v>147</v>
      </c>
      <c r="L59" s="73">
        <v>157</v>
      </c>
      <c r="M59" s="72">
        <v>148</v>
      </c>
      <c r="N59" s="70">
        <v>94</v>
      </c>
      <c r="O59" s="73">
        <v>92</v>
      </c>
      <c r="P59" s="72">
        <v>86</v>
      </c>
      <c r="Q59" s="70">
        <v>187</v>
      </c>
      <c r="R59" s="73">
        <v>184</v>
      </c>
      <c r="S59" s="72">
        <v>172</v>
      </c>
      <c r="T59" s="70">
        <v>217</v>
      </c>
      <c r="U59" s="73">
        <v>205</v>
      </c>
      <c r="V59" s="72">
        <v>198</v>
      </c>
      <c r="W59" s="70">
        <v>217</v>
      </c>
      <c r="X59" s="73">
        <v>205</v>
      </c>
      <c r="Y59" s="72">
        <v>198</v>
      </c>
      <c r="Z59" s="70">
        <v>218</v>
      </c>
      <c r="AA59" s="73">
        <v>205</v>
      </c>
      <c r="AB59" s="144">
        <v>215</v>
      </c>
      <c r="AC59" s="10"/>
      <c r="AD59" s="10"/>
      <c r="AE59" s="10"/>
      <c r="AF59" s="10"/>
    </row>
    <row r="60" spans="1:32" x14ac:dyDescent="0.25">
      <c r="A60" s="101" t="s">
        <v>26</v>
      </c>
      <c r="B60" s="70">
        <v>42</v>
      </c>
      <c r="C60" s="71">
        <v>37</v>
      </c>
      <c r="D60" s="72">
        <v>41</v>
      </c>
      <c r="E60" s="70">
        <v>110</v>
      </c>
      <c r="F60" s="73">
        <v>106</v>
      </c>
      <c r="G60" s="72">
        <v>103</v>
      </c>
      <c r="H60" s="70">
        <v>124</v>
      </c>
      <c r="I60" s="73">
        <v>121</v>
      </c>
      <c r="J60" s="72">
        <v>113</v>
      </c>
      <c r="K60" s="70">
        <v>184</v>
      </c>
      <c r="L60" s="73">
        <v>197</v>
      </c>
      <c r="M60" s="72">
        <v>185</v>
      </c>
      <c r="N60" s="70">
        <v>117</v>
      </c>
      <c r="O60" s="73">
        <v>115</v>
      </c>
      <c r="P60" s="72">
        <v>108</v>
      </c>
      <c r="Q60" s="70">
        <v>233</v>
      </c>
      <c r="R60" s="73">
        <v>230</v>
      </c>
      <c r="S60" s="72">
        <v>215</v>
      </c>
      <c r="T60" s="70">
        <v>272</v>
      </c>
      <c r="U60" s="73">
        <v>257</v>
      </c>
      <c r="V60" s="72">
        <v>248</v>
      </c>
      <c r="W60" s="70">
        <v>272</v>
      </c>
      <c r="X60" s="73">
        <v>257</v>
      </c>
      <c r="Y60" s="72">
        <v>248</v>
      </c>
      <c r="Z60" s="70">
        <v>272</v>
      </c>
      <c r="AA60" s="73">
        <v>256</v>
      </c>
      <c r="AB60" s="144">
        <v>268</v>
      </c>
      <c r="AC60" s="10"/>
      <c r="AD60" s="10"/>
      <c r="AE60" s="10"/>
      <c r="AF60" s="10"/>
    </row>
    <row r="61" spans="1:32" x14ac:dyDescent="0.25">
      <c r="A61" s="101" t="s">
        <v>27</v>
      </c>
      <c r="B61" s="70">
        <v>53</v>
      </c>
      <c r="C61" s="71">
        <v>47</v>
      </c>
      <c r="D61" s="72">
        <v>52</v>
      </c>
      <c r="E61" s="70">
        <v>137</v>
      </c>
      <c r="F61" s="73">
        <v>132</v>
      </c>
      <c r="G61" s="72">
        <v>128</v>
      </c>
      <c r="H61" s="70">
        <v>155</v>
      </c>
      <c r="I61" s="73">
        <v>152</v>
      </c>
      <c r="J61" s="72">
        <v>142</v>
      </c>
      <c r="K61" s="70">
        <v>230</v>
      </c>
      <c r="L61" s="73">
        <v>246</v>
      </c>
      <c r="M61" s="72">
        <v>231</v>
      </c>
      <c r="N61" s="70">
        <v>147</v>
      </c>
      <c r="O61" s="73">
        <v>144</v>
      </c>
      <c r="P61" s="72">
        <v>135</v>
      </c>
      <c r="Q61" s="70">
        <v>292</v>
      </c>
      <c r="R61" s="73">
        <v>288</v>
      </c>
      <c r="S61" s="72">
        <v>269</v>
      </c>
      <c r="T61" s="70">
        <v>340</v>
      </c>
      <c r="U61" s="73">
        <v>321</v>
      </c>
      <c r="V61" s="72">
        <v>310</v>
      </c>
      <c r="W61" s="70">
        <v>340</v>
      </c>
      <c r="X61" s="73">
        <v>321</v>
      </c>
      <c r="Y61" s="72">
        <v>310</v>
      </c>
      <c r="Z61" s="70">
        <v>340</v>
      </c>
      <c r="AA61" s="73">
        <v>320</v>
      </c>
      <c r="AB61" s="144">
        <v>335</v>
      </c>
      <c r="AC61" s="10"/>
      <c r="AD61" s="10"/>
      <c r="AE61" s="10"/>
      <c r="AF61" s="10"/>
    </row>
    <row r="62" spans="1:32" x14ac:dyDescent="0.25">
      <c r="A62" s="101" t="s">
        <v>28</v>
      </c>
      <c r="B62" s="70">
        <v>67</v>
      </c>
      <c r="C62" s="71">
        <v>60</v>
      </c>
      <c r="D62" s="72">
        <v>66</v>
      </c>
      <c r="E62" s="70">
        <v>176</v>
      </c>
      <c r="F62" s="73">
        <v>169</v>
      </c>
      <c r="G62" s="72">
        <v>164</v>
      </c>
      <c r="H62" s="70">
        <v>198</v>
      </c>
      <c r="I62" s="73">
        <v>194</v>
      </c>
      <c r="J62" s="72">
        <v>181</v>
      </c>
      <c r="K62" s="70">
        <v>295</v>
      </c>
      <c r="L62" s="73">
        <v>315</v>
      </c>
      <c r="M62" s="72">
        <v>296</v>
      </c>
      <c r="N62" s="70">
        <v>188</v>
      </c>
      <c r="O62" s="73">
        <v>184</v>
      </c>
      <c r="P62" s="72">
        <v>172</v>
      </c>
      <c r="Q62" s="70">
        <v>373</v>
      </c>
      <c r="R62" s="73">
        <v>369</v>
      </c>
      <c r="S62" s="72">
        <v>344</v>
      </c>
      <c r="T62" s="70">
        <v>435</v>
      </c>
      <c r="U62" s="73">
        <v>411</v>
      </c>
      <c r="V62" s="72">
        <v>396</v>
      </c>
      <c r="W62" s="70">
        <v>435</v>
      </c>
      <c r="X62" s="73">
        <v>411</v>
      </c>
      <c r="Y62" s="72">
        <v>396</v>
      </c>
      <c r="Z62" s="70">
        <v>435</v>
      </c>
      <c r="AA62" s="73">
        <v>410</v>
      </c>
      <c r="AB62" s="144">
        <v>429</v>
      </c>
      <c r="AC62" s="10"/>
      <c r="AD62" s="10"/>
      <c r="AE62" s="10"/>
      <c r="AF62" s="10"/>
    </row>
    <row r="63" spans="1:32" x14ac:dyDescent="0.25">
      <c r="A63" s="101" t="s">
        <v>29</v>
      </c>
      <c r="B63" s="70">
        <v>84</v>
      </c>
      <c r="C63" s="71">
        <v>74</v>
      </c>
      <c r="D63" s="72">
        <v>83</v>
      </c>
      <c r="E63" s="70">
        <v>220</v>
      </c>
      <c r="F63" s="73">
        <v>211</v>
      </c>
      <c r="G63" s="72">
        <v>205</v>
      </c>
      <c r="H63" s="70">
        <v>247</v>
      </c>
      <c r="I63" s="73">
        <v>242</v>
      </c>
      <c r="J63" s="72">
        <v>227</v>
      </c>
      <c r="K63" s="70">
        <v>368</v>
      </c>
      <c r="L63" s="73">
        <v>394</v>
      </c>
      <c r="M63" s="72">
        <v>370</v>
      </c>
      <c r="N63" s="70">
        <v>235</v>
      </c>
      <c r="O63" s="73">
        <v>230</v>
      </c>
      <c r="P63" s="72">
        <v>215</v>
      </c>
      <c r="Q63" s="70">
        <v>467</v>
      </c>
      <c r="R63" s="73">
        <v>461</v>
      </c>
      <c r="S63" s="72">
        <v>430</v>
      </c>
      <c r="T63" s="70">
        <v>544</v>
      </c>
      <c r="U63" s="73">
        <v>514</v>
      </c>
      <c r="V63" s="72">
        <v>496</v>
      </c>
      <c r="W63" s="70">
        <v>544</v>
      </c>
      <c r="X63" s="73">
        <v>514</v>
      </c>
      <c r="Y63" s="72">
        <v>496</v>
      </c>
      <c r="Z63" s="70">
        <v>559</v>
      </c>
      <c r="AA63" s="73">
        <v>523</v>
      </c>
      <c r="AB63" s="144">
        <v>543</v>
      </c>
      <c r="AC63" s="10"/>
      <c r="AD63" s="10"/>
      <c r="AE63" s="10"/>
      <c r="AF63" s="10"/>
    </row>
    <row r="64" spans="1:32" x14ac:dyDescent="0.25">
      <c r="A64" s="101" t="s">
        <v>30</v>
      </c>
      <c r="B64" s="70">
        <v>105</v>
      </c>
      <c r="C64" s="71">
        <v>93</v>
      </c>
      <c r="D64" s="72">
        <v>104</v>
      </c>
      <c r="E64" s="70">
        <v>275</v>
      </c>
      <c r="F64" s="73">
        <v>264</v>
      </c>
      <c r="G64" s="72">
        <v>257</v>
      </c>
      <c r="H64" s="70">
        <v>309</v>
      </c>
      <c r="I64" s="73">
        <v>303</v>
      </c>
      <c r="J64" s="72">
        <v>284</v>
      </c>
      <c r="K64" s="70">
        <v>461</v>
      </c>
      <c r="L64" s="73">
        <v>492</v>
      </c>
      <c r="M64" s="72">
        <v>462</v>
      </c>
      <c r="N64" s="70">
        <v>294</v>
      </c>
      <c r="O64" s="73">
        <v>288</v>
      </c>
      <c r="P64" s="72">
        <v>269</v>
      </c>
      <c r="Q64" s="70">
        <v>584</v>
      </c>
      <c r="R64" s="73">
        <v>576</v>
      </c>
      <c r="S64" s="72">
        <v>537</v>
      </c>
      <c r="T64" s="70">
        <v>680</v>
      </c>
      <c r="U64" s="73">
        <v>642</v>
      </c>
      <c r="V64" s="72">
        <v>620</v>
      </c>
      <c r="W64" s="70">
        <v>680</v>
      </c>
      <c r="X64" s="73">
        <v>642</v>
      </c>
      <c r="Y64" s="72">
        <v>620</v>
      </c>
      <c r="Z64" s="70">
        <v>840</v>
      </c>
      <c r="AA64" s="73">
        <v>781</v>
      </c>
      <c r="AB64" s="144">
        <v>821</v>
      </c>
      <c r="AC64" s="10"/>
      <c r="AD64" s="10"/>
      <c r="AE64" s="10"/>
      <c r="AF64" s="10"/>
    </row>
    <row r="65" spans="1:32" x14ac:dyDescent="0.25">
      <c r="A65" s="101" t="s">
        <v>31</v>
      </c>
      <c r="B65" s="70">
        <v>132</v>
      </c>
      <c r="C65" s="71">
        <v>117</v>
      </c>
      <c r="D65" s="72">
        <v>130</v>
      </c>
      <c r="E65" s="70">
        <v>346</v>
      </c>
      <c r="F65" s="73">
        <v>333</v>
      </c>
      <c r="G65" s="72">
        <v>323</v>
      </c>
      <c r="H65" s="70">
        <v>389</v>
      </c>
      <c r="I65" s="73">
        <v>382</v>
      </c>
      <c r="J65" s="72">
        <v>357</v>
      </c>
      <c r="K65" s="70">
        <v>580</v>
      </c>
      <c r="L65" s="73">
        <v>620</v>
      </c>
      <c r="M65" s="72">
        <v>582</v>
      </c>
      <c r="N65" s="70">
        <v>370</v>
      </c>
      <c r="O65" s="73">
        <v>363</v>
      </c>
      <c r="P65" s="72">
        <v>339</v>
      </c>
      <c r="Q65" s="70">
        <v>735</v>
      </c>
      <c r="R65" s="73">
        <v>726</v>
      </c>
      <c r="S65" s="72">
        <v>677</v>
      </c>
      <c r="T65" s="70">
        <v>856</v>
      </c>
      <c r="U65" s="73">
        <v>809</v>
      </c>
      <c r="V65" s="72">
        <v>781</v>
      </c>
      <c r="W65" s="70">
        <v>856</v>
      </c>
      <c r="X65" s="73">
        <v>809</v>
      </c>
      <c r="Y65" s="72">
        <v>781</v>
      </c>
      <c r="Z65" s="70">
        <v>1234</v>
      </c>
      <c r="AA65" s="73">
        <v>1144</v>
      </c>
      <c r="AB65" s="144">
        <v>1210</v>
      </c>
      <c r="AC65" s="10"/>
      <c r="AD65" s="10"/>
      <c r="AE65" s="10"/>
      <c r="AF65" s="10"/>
    </row>
    <row r="66" spans="1:32" x14ac:dyDescent="0.25">
      <c r="A66" s="101" t="s">
        <v>32</v>
      </c>
      <c r="B66" s="70"/>
      <c r="C66" s="71"/>
      <c r="D66" s="72"/>
      <c r="E66" s="70"/>
      <c r="F66" s="73"/>
      <c r="G66" s="72"/>
      <c r="H66" s="70"/>
      <c r="I66" s="73"/>
      <c r="J66" s="72"/>
      <c r="K66" s="70"/>
      <c r="L66" s="73"/>
      <c r="M66" s="72"/>
      <c r="N66" s="70"/>
      <c r="O66" s="73"/>
      <c r="P66" s="72"/>
      <c r="Q66" s="70"/>
      <c r="R66" s="73"/>
      <c r="S66" s="72"/>
      <c r="T66" s="70"/>
      <c r="U66" s="73"/>
      <c r="V66" s="72"/>
      <c r="W66" s="70"/>
      <c r="X66" s="73"/>
      <c r="Y66" s="72"/>
      <c r="Z66" s="70">
        <v>2042</v>
      </c>
      <c r="AA66" s="73">
        <v>1884</v>
      </c>
      <c r="AB66" s="144">
        <v>2005</v>
      </c>
      <c r="AC66" s="10"/>
      <c r="AD66" s="10"/>
      <c r="AE66" s="10"/>
      <c r="AF66" s="10"/>
    </row>
    <row r="67" spans="1:32" x14ac:dyDescent="0.25">
      <c r="A67" s="101" t="s">
        <v>33</v>
      </c>
      <c r="B67" s="70"/>
      <c r="C67" s="71"/>
      <c r="D67" s="72"/>
      <c r="E67" s="70"/>
      <c r="F67" s="73"/>
      <c r="G67" s="72"/>
      <c r="H67" s="70"/>
      <c r="I67" s="73"/>
      <c r="J67" s="72"/>
      <c r="K67" s="70"/>
      <c r="L67" s="73"/>
      <c r="M67" s="72"/>
      <c r="N67" s="70"/>
      <c r="O67" s="73"/>
      <c r="P67" s="72"/>
      <c r="Q67" s="70"/>
      <c r="R67" s="73"/>
      <c r="S67" s="72"/>
      <c r="T67" s="70"/>
      <c r="U67" s="73"/>
      <c r="V67" s="72"/>
      <c r="W67" s="70"/>
      <c r="X67" s="73"/>
      <c r="Y67" s="72"/>
      <c r="Z67" s="70">
        <v>3770</v>
      </c>
      <c r="AA67" s="73">
        <v>3465</v>
      </c>
      <c r="AB67" s="144">
        <v>3706</v>
      </c>
      <c r="AC67" s="10"/>
      <c r="AD67" s="10"/>
      <c r="AE67" s="10"/>
      <c r="AF67" s="10"/>
    </row>
    <row r="68" spans="1:32" x14ac:dyDescent="0.25">
      <c r="A68" s="101" t="s">
        <v>34</v>
      </c>
      <c r="B68" s="70"/>
      <c r="C68" s="71"/>
      <c r="D68" s="72"/>
      <c r="E68" s="70"/>
      <c r="F68" s="73"/>
      <c r="G68" s="72"/>
      <c r="H68" s="70"/>
      <c r="I68" s="73"/>
      <c r="J68" s="72"/>
      <c r="K68" s="70"/>
      <c r="L68" s="73"/>
      <c r="M68" s="72"/>
      <c r="N68" s="70"/>
      <c r="O68" s="73"/>
      <c r="P68" s="72"/>
      <c r="Q68" s="70"/>
      <c r="R68" s="73"/>
      <c r="S68" s="72"/>
      <c r="T68" s="70"/>
      <c r="U68" s="73"/>
      <c r="V68" s="72"/>
      <c r="W68" s="70"/>
      <c r="X68" s="73"/>
      <c r="Y68" s="72"/>
      <c r="Z68" s="70">
        <v>7115</v>
      </c>
      <c r="AA68" s="73">
        <v>7144</v>
      </c>
      <c r="AB68" s="144">
        <v>7274</v>
      </c>
      <c r="AC68" s="10"/>
      <c r="AD68" s="10"/>
      <c r="AE68" s="10"/>
      <c r="AF68" s="10"/>
    </row>
    <row r="69" spans="1:32" x14ac:dyDescent="0.25">
      <c r="A69" s="101" t="s">
        <v>35</v>
      </c>
      <c r="B69" s="70"/>
      <c r="C69" s="71"/>
      <c r="D69" s="72"/>
      <c r="E69" s="70"/>
      <c r="F69" s="73"/>
      <c r="G69" s="72"/>
      <c r="H69" s="70"/>
      <c r="I69" s="73"/>
      <c r="J69" s="72"/>
      <c r="K69" s="70"/>
      <c r="L69" s="73"/>
      <c r="M69" s="72"/>
      <c r="N69" s="70"/>
      <c r="O69" s="73"/>
      <c r="P69" s="72"/>
      <c r="Q69" s="70"/>
      <c r="R69" s="73"/>
      <c r="S69" s="72"/>
      <c r="T69" s="70"/>
      <c r="U69" s="73"/>
      <c r="V69" s="72"/>
      <c r="W69" s="70"/>
      <c r="X69" s="73"/>
      <c r="Y69" s="72"/>
      <c r="Z69" s="70">
        <v>14527</v>
      </c>
      <c r="AA69" s="73">
        <v>14882</v>
      </c>
      <c r="AB69" s="144">
        <v>12732</v>
      </c>
      <c r="AC69" s="10"/>
      <c r="AD69" s="10"/>
      <c r="AE69" s="10"/>
      <c r="AF69" s="10"/>
    </row>
    <row r="70" spans="1:32" x14ac:dyDescent="0.25">
      <c r="A70" s="101" t="s">
        <v>50</v>
      </c>
      <c r="B70" s="70">
        <v>2.1</v>
      </c>
      <c r="C70" s="71">
        <v>1.86</v>
      </c>
      <c r="D70" s="72">
        <v>2.0699999999999998</v>
      </c>
      <c r="E70" s="70">
        <v>5.49</v>
      </c>
      <c r="F70" s="73">
        <v>5.28</v>
      </c>
      <c r="G70" s="72">
        <v>5.13</v>
      </c>
      <c r="H70" s="70">
        <v>6.18</v>
      </c>
      <c r="I70" s="73">
        <v>6.06</v>
      </c>
      <c r="J70" s="72">
        <v>5.67</v>
      </c>
      <c r="K70" s="70">
        <v>9.2100000000000009</v>
      </c>
      <c r="L70" s="73">
        <v>9.84</v>
      </c>
      <c r="M70" s="72">
        <v>9.24</v>
      </c>
      <c r="N70" s="70">
        <v>5.87</v>
      </c>
      <c r="O70" s="73">
        <v>5.76</v>
      </c>
      <c r="P70" s="72">
        <v>5.39</v>
      </c>
      <c r="Q70" s="70">
        <v>11.67</v>
      </c>
      <c r="R70" s="73">
        <v>11.52</v>
      </c>
      <c r="S70" s="72">
        <v>10.74</v>
      </c>
      <c r="T70" s="70">
        <v>13.59</v>
      </c>
      <c r="U70" s="73">
        <v>12.84</v>
      </c>
      <c r="V70" s="72">
        <v>12.39</v>
      </c>
      <c r="W70" s="70">
        <v>13.59</v>
      </c>
      <c r="X70" s="73">
        <v>12.84</v>
      </c>
      <c r="Y70" s="72">
        <v>12.39</v>
      </c>
      <c r="Z70" s="70">
        <v>90.79</v>
      </c>
      <c r="AA70" s="73">
        <v>93.01</v>
      </c>
      <c r="AB70" s="144">
        <v>79.58</v>
      </c>
      <c r="AC70" s="10"/>
      <c r="AD70" s="10"/>
      <c r="AE70" s="10"/>
      <c r="AF70" s="10"/>
    </row>
    <row r="71" spans="1:32" x14ac:dyDescent="0.25">
      <c r="A71" s="101" t="s">
        <v>37</v>
      </c>
      <c r="B71" s="70">
        <v>0.7</v>
      </c>
      <c r="C71" s="71">
        <v>0.62</v>
      </c>
      <c r="D71" s="72">
        <v>0.69</v>
      </c>
      <c r="E71" s="70">
        <v>1.83</v>
      </c>
      <c r="F71" s="73">
        <v>1.76</v>
      </c>
      <c r="G71" s="72">
        <v>1.71</v>
      </c>
      <c r="H71" s="70">
        <v>2.06</v>
      </c>
      <c r="I71" s="73">
        <v>2.02</v>
      </c>
      <c r="J71" s="72">
        <v>1.89</v>
      </c>
      <c r="K71" s="70">
        <v>3.07</v>
      </c>
      <c r="L71" s="73">
        <v>3.28</v>
      </c>
      <c r="M71" s="72">
        <v>3.08</v>
      </c>
      <c r="N71" s="70">
        <v>1.96</v>
      </c>
      <c r="O71" s="73">
        <v>1.92</v>
      </c>
      <c r="P71" s="72">
        <v>1.8</v>
      </c>
      <c r="Q71" s="70">
        <v>3.89</v>
      </c>
      <c r="R71" s="73">
        <v>3.84</v>
      </c>
      <c r="S71" s="72">
        <v>3.58</v>
      </c>
      <c r="T71" s="70">
        <v>4.53</v>
      </c>
      <c r="U71" s="73">
        <v>4.28</v>
      </c>
      <c r="V71" s="72">
        <v>4.13</v>
      </c>
      <c r="W71" s="70">
        <v>4.53</v>
      </c>
      <c r="X71" s="73">
        <v>4.28</v>
      </c>
      <c r="Y71" s="72">
        <v>4.13</v>
      </c>
      <c r="Z71" s="70">
        <v>30.26</v>
      </c>
      <c r="AA71" s="73">
        <v>31</v>
      </c>
      <c r="AB71" s="144">
        <v>26.53</v>
      </c>
      <c r="AC71" s="10"/>
      <c r="AD71" s="10"/>
      <c r="AE71" s="10"/>
      <c r="AF71" s="10"/>
    </row>
    <row r="72" spans="1:32" x14ac:dyDescent="0.25">
      <c r="A72" s="101" t="s">
        <v>36</v>
      </c>
      <c r="B72" s="70"/>
      <c r="C72" s="71"/>
      <c r="D72" s="72"/>
      <c r="E72" s="70"/>
      <c r="F72" s="73"/>
      <c r="G72" s="72"/>
      <c r="H72" s="70"/>
      <c r="I72" s="73"/>
      <c r="J72" s="72"/>
      <c r="K72" s="70"/>
      <c r="L72" s="73"/>
      <c r="M72" s="72"/>
      <c r="N72" s="70"/>
      <c r="O72" s="73"/>
      <c r="P72" s="72"/>
      <c r="Q72" s="70"/>
      <c r="R72" s="73"/>
      <c r="S72" s="72"/>
      <c r="T72" s="70"/>
      <c r="U72" s="73"/>
      <c r="V72" s="72"/>
      <c r="W72" s="70"/>
      <c r="X72" s="73"/>
      <c r="Y72" s="72"/>
      <c r="Z72" s="70"/>
      <c r="AA72" s="73"/>
      <c r="AB72" s="144"/>
      <c r="AC72" s="10"/>
      <c r="AD72" s="10"/>
      <c r="AE72" s="10"/>
      <c r="AF72" s="10"/>
    </row>
    <row r="73" spans="1:32" x14ac:dyDescent="0.25">
      <c r="A73" s="103" t="s">
        <v>38</v>
      </c>
      <c r="B73" s="70"/>
      <c r="C73" s="71"/>
      <c r="D73" s="72"/>
      <c r="E73" s="70"/>
      <c r="F73" s="73"/>
      <c r="G73" s="72"/>
      <c r="H73" s="70"/>
      <c r="I73" s="73"/>
      <c r="J73" s="72"/>
      <c r="K73" s="70"/>
      <c r="L73" s="73"/>
      <c r="M73" s="72"/>
      <c r="N73" s="70"/>
      <c r="O73" s="73"/>
      <c r="P73" s="72"/>
      <c r="Q73" s="70"/>
      <c r="R73" s="73"/>
      <c r="S73" s="72"/>
      <c r="T73" s="70"/>
      <c r="U73" s="73"/>
      <c r="V73" s="72"/>
      <c r="W73" s="70"/>
      <c r="X73" s="73"/>
      <c r="Y73" s="72"/>
      <c r="Z73" s="70"/>
      <c r="AA73" s="73"/>
      <c r="AB73" s="144"/>
      <c r="AC73" s="10"/>
      <c r="AD73" s="10"/>
      <c r="AE73" s="10"/>
      <c r="AF73" s="10"/>
    </row>
    <row r="74" spans="1:32" x14ac:dyDescent="0.25">
      <c r="A74" s="101" t="s">
        <v>39</v>
      </c>
      <c r="B74" s="70">
        <v>2152.9</v>
      </c>
      <c r="C74" s="71">
        <v>2266.6999999999998</v>
      </c>
      <c r="D74" s="72">
        <v>1991.67</v>
      </c>
      <c r="E74" s="70">
        <v>1633.56</v>
      </c>
      <c r="F74" s="73">
        <v>1833.72</v>
      </c>
      <c r="G74" s="72">
        <v>1534.34</v>
      </c>
      <c r="H74" s="70">
        <v>1703.6</v>
      </c>
      <c r="I74" s="73">
        <v>1789.8</v>
      </c>
      <c r="J74" s="72">
        <v>1484.29</v>
      </c>
      <c r="K74" s="70">
        <v>625.24</v>
      </c>
      <c r="L74" s="73">
        <v>647.71</v>
      </c>
      <c r="M74" s="72">
        <v>665.12</v>
      </c>
      <c r="N74" s="70">
        <v>1703.6</v>
      </c>
      <c r="O74" s="73">
        <v>1789.8</v>
      </c>
      <c r="P74" s="72">
        <v>1484.29</v>
      </c>
      <c r="Q74" s="70">
        <v>249.72</v>
      </c>
      <c r="R74" s="73">
        <v>262.48</v>
      </c>
      <c r="S74" s="72">
        <v>222.02</v>
      </c>
      <c r="T74" s="70">
        <v>249.72</v>
      </c>
      <c r="U74" s="73">
        <v>262.48</v>
      </c>
      <c r="V74" s="72">
        <v>222.02</v>
      </c>
      <c r="W74" s="70">
        <v>249.72</v>
      </c>
      <c r="X74" s="73">
        <v>262.48</v>
      </c>
      <c r="Y74" s="72">
        <v>222.02</v>
      </c>
      <c r="Z74" s="70">
        <v>228.82</v>
      </c>
      <c r="AA74" s="73">
        <v>238.57</v>
      </c>
      <c r="AB74" s="144">
        <v>192.59</v>
      </c>
      <c r="AC74" s="10"/>
      <c r="AD74" s="10"/>
      <c r="AE74" s="10"/>
      <c r="AF74" s="10"/>
    </row>
    <row r="75" spans="1:32" x14ac:dyDescent="0.25">
      <c r="A75" s="101" t="s">
        <v>40</v>
      </c>
      <c r="B75" s="70"/>
      <c r="C75" s="71"/>
      <c r="D75" s="72"/>
      <c r="E75" s="70"/>
      <c r="F75" s="73"/>
      <c r="G75" s="72"/>
      <c r="H75" s="73">
        <v>173.98</v>
      </c>
      <c r="I75" s="73">
        <v>189.26</v>
      </c>
      <c r="J75" s="72">
        <v>135.91</v>
      </c>
      <c r="K75" s="73">
        <v>173.98</v>
      </c>
      <c r="L75" s="73">
        <v>189.26</v>
      </c>
      <c r="M75" s="72">
        <v>135.91</v>
      </c>
      <c r="N75" s="73">
        <v>173.98</v>
      </c>
      <c r="O75" s="73">
        <v>189.26</v>
      </c>
      <c r="P75" s="72">
        <v>135.91</v>
      </c>
      <c r="Q75" s="73">
        <v>173.98</v>
      </c>
      <c r="R75" s="73">
        <v>189.26</v>
      </c>
      <c r="S75" s="72">
        <v>135.91</v>
      </c>
      <c r="T75" s="73">
        <v>173.98</v>
      </c>
      <c r="U75" s="73">
        <v>189.26</v>
      </c>
      <c r="V75" s="72">
        <v>135.91</v>
      </c>
      <c r="W75" s="73">
        <v>173.98</v>
      </c>
      <c r="X75" s="73">
        <v>189.26</v>
      </c>
      <c r="Y75" s="72">
        <v>135.91</v>
      </c>
      <c r="Z75" s="73">
        <v>173.98</v>
      </c>
      <c r="AA75" s="73">
        <v>189.26</v>
      </c>
      <c r="AB75" s="144">
        <v>135.91</v>
      </c>
      <c r="AC75" s="10"/>
      <c r="AD75" s="10"/>
      <c r="AE75" s="10"/>
      <c r="AF75" s="10"/>
    </row>
    <row r="76" spans="1:32" x14ac:dyDescent="0.25">
      <c r="A76" s="101" t="s">
        <v>41</v>
      </c>
      <c r="B76" s="73">
        <f>B42</f>
        <v>113.53</v>
      </c>
      <c r="C76" s="73">
        <f>B76</f>
        <v>113.53</v>
      </c>
      <c r="D76" s="72">
        <f t="shared" ref="D76:AB76" si="10">C76</f>
        <v>113.53</v>
      </c>
      <c r="E76" s="73">
        <f t="shared" si="10"/>
        <v>113.53</v>
      </c>
      <c r="F76" s="73">
        <f t="shared" si="10"/>
        <v>113.53</v>
      </c>
      <c r="G76" s="72">
        <f t="shared" si="10"/>
        <v>113.53</v>
      </c>
      <c r="H76" s="73">
        <f t="shared" si="10"/>
        <v>113.53</v>
      </c>
      <c r="I76" s="73">
        <f t="shared" si="10"/>
        <v>113.53</v>
      </c>
      <c r="J76" s="72">
        <f t="shared" si="10"/>
        <v>113.53</v>
      </c>
      <c r="K76" s="73">
        <f t="shared" si="10"/>
        <v>113.53</v>
      </c>
      <c r="L76" s="73">
        <f t="shared" si="10"/>
        <v>113.53</v>
      </c>
      <c r="M76" s="72">
        <f t="shared" si="10"/>
        <v>113.53</v>
      </c>
      <c r="N76" s="73">
        <f t="shared" si="10"/>
        <v>113.53</v>
      </c>
      <c r="O76" s="73">
        <f t="shared" si="10"/>
        <v>113.53</v>
      </c>
      <c r="P76" s="72">
        <f t="shared" si="10"/>
        <v>113.53</v>
      </c>
      <c r="Q76" s="73">
        <f t="shared" si="10"/>
        <v>113.53</v>
      </c>
      <c r="R76" s="73">
        <f t="shared" si="10"/>
        <v>113.53</v>
      </c>
      <c r="S76" s="72">
        <f t="shared" si="10"/>
        <v>113.53</v>
      </c>
      <c r="T76" s="73">
        <f t="shared" si="10"/>
        <v>113.53</v>
      </c>
      <c r="U76" s="73">
        <f t="shared" si="10"/>
        <v>113.53</v>
      </c>
      <c r="V76" s="72">
        <f t="shared" si="10"/>
        <v>113.53</v>
      </c>
      <c r="W76" s="73">
        <f t="shared" si="10"/>
        <v>113.53</v>
      </c>
      <c r="X76" s="73">
        <f t="shared" si="10"/>
        <v>113.53</v>
      </c>
      <c r="Y76" s="72">
        <f t="shared" si="10"/>
        <v>113.53</v>
      </c>
      <c r="Z76" s="73">
        <f t="shared" si="10"/>
        <v>113.53</v>
      </c>
      <c r="AA76" s="73">
        <f t="shared" si="10"/>
        <v>113.53</v>
      </c>
      <c r="AB76" s="144">
        <f t="shared" si="10"/>
        <v>113.53</v>
      </c>
      <c r="AC76" s="10"/>
      <c r="AD76" s="10"/>
      <c r="AE76" s="10"/>
      <c r="AF76" s="10"/>
    </row>
    <row r="77" spans="1:32" x14ac:dyDescent="0.25">
      <c r="A77" s="101" t="s">
        <v>42</v>
      </c>
      <c r="B77" s="73">
        <f>B43</f>
        <v>495</v>
      </c>
      <c r="C77" s="73">
        <f t="shared" ref="C77:AB78" si="11">B77</f>
        <v>495</v>
      </c>
      <c r="D77" s="72">
        <f t="shared" si="11"/>
        <v>495</v>
      </c>
      <c r="E77" s="73">
        <f t="shared" si="11"/>
        <v>495</v>
      </c>
      <c r="F77" s="73">
        <f t="shared" si="11"/>
        <v>495</v>
      </c>
      <c r="G77" s="72">
        <f t="shared" si="11"/>
        <v>495</v>
      </c>
      <c r="H77" s="73">
        <f t="shared" si="11"/>
        <v>495</v>
      </c>
      <c r="I77" s="73">
        <f t="shared" si="11"/>
        <v>495</v>
      </c>
      <c r="J77" s="72">
        <f t="shared" si="11"/>
        <v>495</v>
      </c>
      <c r="K77" s="73">
        <f t="shared" si="11"/>
        <v>495</v>
      </c>
      <c r="L77" s="73">
        <f t="shared" si="11"/>
        <v>495</v>
      </c>
      <c r="M77" s="72">
        <f t="shared" si="11"/>
        <v>495</v>
      </c>
      <c r="N77" s="73">
        <f>M77</f>
        <v>495</v>
      </c>
      <c r="O77" s="73">
        <f>N77</f>
        <v>495</v>
      </c>
      <c r="P77" s="72">
        <f>O77</f>
        <v>495</v>
      </c>
      <c r="Q77" s="73">
        <f>P77</f>
        <v>495</v>
      </c>
      <c r="R77" s="73">
        <f t="shared" si="11"/>
        <v>495</v>
      </c>
      <c r="S77" s="72">
        <f t="shared" si="11"/>
        <v>495</v>
      </c>
      <c r="T77" s="73">
        <f t="shared" si="11"/>
        <v>495</v>
      </c>
      <c r="U77" s="73">
        <f t="shared" si="11"/>
        <v>495</v>
      </c>
      <c r="V77" s="72">
        <f t="shared" si="11"/>
        <v>495</v>
      </c>
      <c r="W77" s="73">
        <f t="shared" si="11"/>
        <v>495</v>
      </c>
      <c r="X77" s="73">
        <f t="shared" si="11"/>
        <v>495</v>
      </c>
      <c r="Y77" s="72">
        <f t="shared" si="11"/>
        <v>495</v>
      </c>
      <c r="Z77" s="73">
        <f t="shared" si="11"/>
        <v>495</v>
      </c>
      <c r="AA77" s="73">
        <f t="shared" si="11"/>
        <v>495</v>
      </c>
      <c r="AB77" s="144">
        <f t="shared" si="11"/>
        <v>495</v>
      </c>
      <c r="AC77" s="10"/>
      <c r="AD77" s="10"/>
      <c r="AE77" s="10"/>
      <c r="AF77" s="10"/>
    </row>
    <row r="78" spans="1:32" x14ac:dyDescent="0.25">
      <c r="A78" s="101" t="str">
        <f>A43</f>
        <v xml:space="preserve"> - z platu za obn.zdroje, KVET a druhotné zdr. v Kč/MWh</v>
      </c>
      <c r="B78" s="145">
        <f>B44</f>
        <v>11.84</v>
      </c>
      <c r="C78" s="145">
        <f>B78</f>
        <v>11.84</v>
      </c>
      <c r="D78" s="145">
        <f t="shared" si="11"/>
        <v>11.84</v>
      </c>
      <c r="E78" s="145">
        <f t="shared" si="11"/>
        <v>11.84</v>
      </c>
      <c r="F78" s="145">
        <f t="shared" si="11"/>
        <v>11.84</v>
      </c>
      <c r="G78" s="145">
        <f t="shared" si="11"/>
        <v>11.84</v>
      </c>
      <c r="H78" s="145">
        <f t="shared" si="11"/>
        <v>11.84</v>
      </c>
      <c r="I78" s="145">
        <f t="shared" si="11"/>
        <v>11.84</v>
      </c>
      <c r="J78" s="145">
        <f t="shared" si="11"/>
        <v>11.84</v>
      </c>
      <c r="K78" s="145">
        <f t="shared" si="11"/>
        <v>11.84</v>
      </c>
      <c r="L78" s="145">
        <f t="shared" si="11"/>
        <v>11.84</v>
      </c>
      <c r="M78" s="145">
        <f t="shared" si="11"/>
        <v>11.84</v>
      </c>
      <c r="N78" s="145">
        <f t="shared" ref="N78:Q78" si="12">M78</f>
        <v>11.84</v>
      </c>
      <c r="O78" s="145">
        <f t="shared" si="12"/>
        <v>11.84</v>
      </c>
      <c r="P78" s="145">
        <f t="shared" si="12"/>
        <v>11.84</v>
      </c>
      <c r="Q78" s="145">
        <f t="shared" si="12"/>
        <v>11.84</v>
      </c>
      <c r="R78" s="145">
        <f t="shared" si="11"/>
        <v>11.84</v>
      </c>
      <c r="S78" s="145">
        <f t="shared" si="11"/>
        <v>11.84</v>
      </c>
      <c r="T78" s="145">
        <f t="shared" si="11"/>
        <v>11.84</v>
      </c>
      <c r="U78" s="145">
        <f t="shared" si="11"/>
        <v>11.84</v>
      </c>
      <c r="V78" s="145">
        <f t="shared" si="11"/>
        <v>11.84</v>
      </c>
      <c r="W78" s="145">
        <f t="shared" si="11"/>
        <v>11.84</v>
      </c>
      <c r="X78" s="145">
        <f t="shared" si="11"/>
        <v>11.84</v>
      </c>
      <c r="Y78" s="145">
        <f t="shared" si="11"/>
        <v>11.84</v>
      </c>
      <c r="Z78" s="145">
        <f t="shared" si="11"/>
        <v>11.84</v>
      </c>
      <c r="AA78" s="145">
        <f t="shared" si="11"/>
        <v>11.84</v>
      </c>
      <c r="AB78" s="145">
        <f t="shared" si="11"/>
        <v>11.84</v>
      </c>
    </row>
    <row r="79" spans="1:32" ht="15.75" thickBot="1" x14ac:dyDescent="0.3">
      <c r="A79" s="101" t="str">
        <f>A44</f>
        <v xml:space="preserve"> - z platu za obn.zdroje, KVET a druhotné zdr. v Kč/A/měs. a fázi *)</v>
      </c>
      <c r="B79" s="119">
        <f>B45</f>
        <v>4.2</v>
      </c>
      <c r="C79" s="119">
        <f t="shared" ref="C79:AB79" si="13">B79</f>
        <v>4.2</v>
      </c>
      <c r="D79" s="118">
        <f t="shared" si="13"/>
        <v>4.2</v>
      </c>
      <c r="E79" s="117">
        <f t="shared" si="13"/>
        <v>4.2</v>
      </c>
      <c r="F79" s="119">
        <f t="shared" si="13"/>
        <v>4.2</v>
      </c>
      <c r="G79" s="118">
        <f t="shared" si="13"/>
        <v>4.2</v>
      </c>
      <c r="H79" s="116">
        <f t="shared" si="13"/>
        <v>4.2</v>
      </c>
      <c r="I79" s="119">
        <f t="shared" si="13"/>
        <v>4.2</v>
      </c>
      <c r="J79" s="118">
        <f t="shared" si="13"/>
        <v>4.2</v>
      </c>
      <c r="K79" s="116">
        <f t="shared" si="13"/>
        <v>4.2</v>
      </c>
      <c r="L79" s="119">
        <f t="shared" si="13"/>
        <v>4.2</v>
      </c>
      <c r="M79" s="118">
        <f t="shared" si="13"/>
        <v>4.2</v>
      </c>
      <c r="N79" s="116">
        <f>M79</f>
        <v>4.2</v>
      </c>
      <c r="O79" s="119">
        <f>N79</f>
        <v>4.2</v>
      </c>
      <c r="P79" s="118">
        <f>O79</f>
        <v>4.2</v>
      </c>
      <c r="Q79" s="117">
        <f>M79</f>
        <v>4.2</v>
      </c>
      <c r="R79" s="119">
        <f t="shared" si="13"/>
        <v>4.2</v>
      </c>
      <c r="S79" s="118">
        <f t="shared" si="13"/>
        <v>4.2</v>
      </c>
      <c r="T79" s="116">
        <f t="shared" si="13"/>
        <v>4.2</v>
      </c>
      <c r="U79" s="119">
        <f t="shared" si="13"/>
        <v>4.2</v>
      </c>
      <c r="V79" s="118">
        <f t="shared" si="13"/>
        <v>4.2</v>
      </c>
      <c r="W79" s="116">
        <f t="shared" si="13"/>
        <v>4.2</v>
      </c>
      <c r="X79" s="119">
        <f t="shared" si="13"/>
        <v>4.2</v>
      </c>
      <c r="Y79" s="118">
        <f t="shared" si="13"/>
        <v>4.2</v>
      </c>
      <c r="Z79" s="116">
        <f t="shared" si="13"/>
        <v>4.2</v>
      </c>
      <c r="AA79" s="119">
        <f t="shared" si="13"/>
        <v>4.2</v>
      </c>
      <c r="AB79" s="146">
        <f t="shared" si="13"/>
        <v>4.2</v>
      </c>
    </row>
    <row r="80" spans="1:32" x14ac:dyDescent="0.25">
      <c r="A80" s="101" t="s">
        <v>140</v>
      </c>
      <c r="B80" s="121">
        <f>B52+B74+B76+B77</f>
        <v>5861.4299999999994</v>
      </c>
      <c r="C80" s="121">
        <f t="shared" ref="C80:AB80" si="14">C52+C74+C76+C77</f>
        <v>5975.23</v>
      </c>
      <c r="D80" s="122">
        <f t="shared" si="14"/>
        <v>5700.2</v>
      </c>
      <c r="E80" s="123">
        <f t="shared" si="14"/>
        <v>5342.0899999999992</v>
      </c>
      <c r="F80" s="121">
        <f t="shared" si="14"/>
        <v>5542.25</v>
      </c>
      <c r="G80" s="122">
        <f t="shared" si="14"/>
        <v>5242.87</v>
      </c>
      <c r="H80" s="121">
        <f t="shared" si="14"/>
        <v>5412.13</v>
      </c>
      <c r="I80" s="121">
        <f t="shared" si="14"/>
        <v>5498.33</v>
      </c>
      <c r="J80" s="122">
        <f t="shared" si="14"/>
        <v>5192.82</v>
      </c>
      <c r="K80" s="121">
        <f t="shared" si="14"/>
        <v>4333.7700000000004</v>
      </c>
      <c r="L80" s="121">
        <f t="shared" si="14"/>
        <v>4356.24</v>
      </c>
      <c r="M80" s="122">
        <f t="shared" si="14"/>
        <v>4373.6499999999996</v>
      </c>
      <c r="N80" s="121">
        <f>N52+N74+N76+N77</f>
        <v>5412.13</v>
      </c>
      <c r="O80" s="121">
        <f>O52+O74+O76+O77</f>
        <v>5498.33</v>
      </c>
      <c r="P80" s="122">
        <f>P52+P74+P76+P77</f>
        <v>5192.82</v>
      </c>
      <c r="Q80" s="123">
        <f t="shared" si="14"/>
        <v>3958.25</v>
      </c>
      <c r="R80" s="121">
        <f t="shared" si="14"/>
        <v>3971.01</v>
      </c>
      <c r="S80" s="122">
        <f t="shared" si="14"/>
        <v>3930.55</v>
      </c>
      <c r="T80" s="121">
        <f t="shared" si="14"/>
        <v>3958.25</v>
      </c>
      <c r="U80" s="121">
        <f t="shared" si="14"/>
        <v>3971.01</v>
      </c>
      <c r="V80" s="122">
        <f t="shared" si="14"/>
        <v>3930.55</v>
      </c>
      <c r="W80" s="121">
        <f t="shared" si="14"/>
        <v>3958.25</v>
      </c>
      <c r="X80" s="121">
        <f t="shared" si="14"/>
        <v>3971.01</v>
      </c>
      <c r="Y80" s="122">
        <f t="shared" si="14"/>
        <v>3930.55</v>
      </c>
      <c r="Z80" s="121">
        <f t="shared" si="14"/>
        <v>3937.3500000000004</v>
      </c>
      <c r="AA80" s="121">
        <f t="shared" si="14"/>
        <v>3947.1000000000004</v>
      </c>
      <c r="AB80" s="147">
        <f t="shared" si="14"/>
        <v>3901.1200000000003</v>
      </c>
    </row>
    <row r="81" spans="1:28" ht="15.75" thickBot="1" x14ac:dyDescent="0.3">
      <c r="A81" s="125" t="s">
        <v>141</v>
      </c>
      <c r="B81" s="126"/>
      <c r="C81" s="126"/>
      <c r="D81" s="127"/>
      <c r="E81" s="126"/>
      <c r="F81" s="126"/>
      <c r="G81" s="127"/>
      <c r="H81" s="126">
        <f t="shared" ref="H81:AB81" si="15">H52+H75+H76+H77</f>
        <v>3882.51</v>
      </c>
      <c r="I81" s="126">
        <f t="shared" si="15"/>
        <v>3897.7900000000004</v>
      </c>
      <c r="J81" s="127">
        <f t="shared" si="15"/>
        <v>3844.44</v>
      </c>
      <c r="K81" s="126">
        <f t="shared" si="15"/>
        <v>3882.51</v>
      </c>
      <c r="L81" s="126">
        <f t="shared" si="15"/>
        <v>3897.7900000000004</v>
      </c>
      <c r="M81" s="127">
        <f t="shared" si="15"/>
        <v>3844.44</v>
      </c>
      <c r="N81" s="126">
        <f>N52+N75+N76+N77</f>
        <v>3882.51</v>
      </c>
      <c r="O81" s="126">
        <f>O52+O75+O76+O77</f>
        <v>3897.7900000000004</v>
      </c>
      <c r="P81" s="127">
        <f>P52+P75+P76+P77</f>
        <v>3844.44</v>
      </c>
      <c r="Q81" s="128">
        <f t="shared" si="15"/>
        <v>3882.51</v>
      </c>
      <c r="R81" s="126">
        <f t="shared" si="15"/>
        <v>3897.7900000000004</v>
      </c>
      <c r="S81" s="127">
        <f t="shared" si="15"/>
        <v>3844.44</v>
      </c>
      <c r="T81" s="126">
        <f t="shared" si="15"/>
        <v>3882.51</v>
      </c>
      <c r="U81" s="126">
        <f t="shared" si="15"/>
        <v>3897.7900000000004</v>
      </c>
      <c r="V81" s="127">
        <f t="shared" si="15"/>
        <v>3844.44</v>
      </c>
      <c r="W81" s="126">
        <f t="shared" si="15"/>
        <v>3882.51</v>
      </c>
      <c r="X81" s="126">
        <f t="shared" si="15"/>
        <v>3897.7900000000004</v>
      </c>
      <c r="Y81" s="127">
        <f t="shared" si="15"/>
        <v>3844.44</v>
      </c>
      <c r="Z81" s="126">
        <f t="shared" si="15"/>
        <v>3882.51</v>
      </c>
      <c r="AA81" s="126">
        <f t="shared" si="15"/>
        <v>3897.7900000000004</v>
      </c>
      <c r="AB81" s="148">
        <f t="shared" si="15"/>
        <v>3844.44</v>
      </c>
    </row>
    <row r="82" spans="1:28" ht="15.75" thickTop="1" x14ac:dyDescent="0.25"/>
    <row r="95" spans="1:28" hidden="1" x14ac:dyDescent="0.25"/>
    <row r="96" spans="1:28" hidden="1" x14ac:dyDescent="0.25"/>
    <row r="97" spans="1:17" hidden="1" x14ac:dyDescent="0.25">
      <c r="F97">
        <v>0</v>
      </c>
      <c r="G97">
        <v>3</v>
      </c>
      <c r="H97">
        <v>6</v>
      </c>
      <c r="I97">
        <v>9</v>
      </c>
      <c r="J97">
        <v>12</v>
      </c>
      <c r="K97">
        <v>15</v>
      </c>
      <c r="L97">
        <v>18</v>
      </c>
      <c r="M97">
        <v>21</v>
      </c>
      <c r="N97">
        <v>24</v>
      </c>
      <c r="O97">
        <v>27</v>
      </c>
      <c r="P97">
        <v>30</v>
      </c>
      <c r="Q97">
        <v>33</v>
      </c>
    </row>
    <row r="98" spans="1:17" hidden="1" x14ac:dyDescent="0.25">
      <c r="E98" t="s">
        <v>81</v>
      </c>
      <c r="F98" t="s">
        <v>82</v>
      </c>
      <c r="G98">
        <f ca="1">INDIRECT(ADDRESS(97,5+$I$100))</f>
        <v>27</v>
      </c>
      <c r="H98" t="s">
        <v>83</v>
      </c>
      <c r="I98">
        <f>(H100-1)*3</f>
        <v>-3</v>
      </c>
    </row>
    <row r="99" spans="1:17" hidden="1" x14ac:dyDescent="0.25">
      <c r="B99" t="s">
        <v>73</v>
      </c>
      <c r="C99" t="s">
        <v>133</v>
      </c>
      <c r="F99" t="s">
        <v>74</v>
      </c>
      <c r="G99" t="s">
        <v>75</v>
      </c>
      <c r="H99" t="s">
        <v>77</v>
      </c>
      <c r="I99" t="s">
        <v>78</v>
      </c>
      <c r="J99" t="s">
        <v>79</v>
      </c>
      <c r="K99" t="s">
        <v>80</v>
      </c>
    </row>
    <row r="100" spans="1:17" hidden="1" x14ac:dyDescent="0.25">
      <c r="B100" s="53">
        <f>navrh!$W$3</f>
        <v>2</v>
      </c>
      <c r="C100" s="53">
        <f>navrh!$U$2</f>
        <v>2</v>
      </c>
      <c r="D100" s="10"/>
      <c r="E100" s="10"/>
      <c r="F100" s="53">
        <f>navrh!$C$4</f>
        <v>0.85</v>
      </c>
      <c r="G100" s="53">
        <f>navrh!$C$5</f>
        <v>21.34</v>
      </c>
      <c r="H100" s="53">
        <f>navrh!$T$16</f>
        <v>0</v>
      </c>
      <c r="I100" s="53">
        <f>navrh!$U$16</f>
        <v>10</v>
      </c>
      <c r="J100" s="53">
        <f>navrh!$AA$20</f>
        <v>6</v>
      </c>
      <c r="K100" s="53">
        <f>navrh!$AA$20</f>
        <v>6</v>
      </c>
    </row>
    <row r="101" spans="1:17" ht="15.75" hidden="1" x14ac:dyDescent="0.25">
      <c r="B101" s="16" t="str">
        <f ca="1">IF(B100=1,H101,I101)</f>
        <v>Sazba C 55d</v>
      </c>
      <c r="C101" s="10"/>
      <c r="D101" s="10"/>
      <c r="E101" s="10"/>
      <c r="G101" t="s">
        <v>76</v>
      </c>
      <c r="H101" t="e">
        <f ca="1">INDIRECT(ADDRESS(49,2+$I$98))</f>
        <v>#VALUE!</v>
      </c>
      <c r="I101" t="str">
        <f ca="1">INDIRECT(ADDRESS(17,2+$G$98))</f>
        <v>Sazba C 55d</v>
      </c>
    </row>
    <row r="102" spans="1:17" ht="15.75" hidden="1" x14ac:dyDescent="0.25">
      <c r="B102" s="51">
        <f ca="1">IF(navrh!G17=0,IF(B$100=1,H102,I102),navrh!G17)</f>
        <v>3100</v>
      </c>
      <c r="C102" s="51">
        <f ca="1">IF(navrh!G18=0,IF(B$100=1,H102,I102),navrh!G18)</f>
        <v>3100</v>
      </c>
      <c r="D102" s="10"/>
      <c r="E102" s="10"/>
      <c r="G102" t="s">
        <v>84</v>
      </c>
      <c r="H102" t="e">
        <f ca="1">INDIRECT(ADDRESS(52,2+$I$98))</f>
        <v>#VALUE!</v>
      </c>
      <c r="I102">
        <f ca="1">INDIRECT(ADDRESS(19,2+$G$98))</f>
        <v>3100</v>
      </c>
    </row>
    <row r="103" spans="1:17" ht="15.75" hidden="1" x14ac:dyDescent="0.25">
      <c r="B103" s="16">
        <f ca="1">IF(B$100=1,H103,I103)</f>
        <v>29</v>
      </c>
      <c r="C103" s="17"/>
      <c r="D103" s="17"/>
      <c r="E103" s="17"/>
      <c r="G103" t="s">
        <v>85</v>
      </c>
      <c r="H103" t="e">
        <f ca="1">INDIRECT(ADDRESS(54,2+$I$98))</f>
        <v>#VALUE!</v>
      </c>
      <c r="I103">
        <f ca="1">INDIRECT(ADDRESS(21,2+$G$98))</f>
        <v>29</v>
      </c>
    </row>
    <row r="104" spans="1:17" ht="15.75" hidden="1" x14ac:dyDescent="0.25">
      <c r="B104" s="16">
        <f ca="1">IF(B$100=1,H104,I104)</f>
        <v>0</v>
      </c>
      <c r="C104" s="17"/>
      <c r="D104" s="17"/>
      <c r="E104" s="17"/>
      <c r="H104" t="e">
        <f ca="1">INDIRECT(ADDRESS(55,2+$I$98+($C$100-1)))</f>
        <v>#VALUE!</v>
      </c>
      <c r="I104" s="15">
        <f ca="1">INDIRECT(ADDRESS(23,2+$G$98+($C$100-1)))</f>
        <v>0</v>
      </c>
    </row>
    <row r="105" spans="1:17" ht="15.75" hidden="1" x14ac:dyDescent="0.25">
      <c r="A105">
        <v>1</v>
      </c>
      <c r="B105" s="16">
        <f ca="1">IF(B$100=1,H105,I105)</f>
        <v>362</v>
      </c>
      <c r="C105" s="14"/>
      <c r="D105" s="10"/>
      <c r="E105" s="10"/>
      <c r="H105" t="e">
        <f ca="1">INDIRECT(ADDRESS(58,2+$I$98+($C$100-1)))</f>
        <v>#VALUE!</v>
      </c>
      <c r="I105" s="15">
        <f ca="1">INDIRECT(ADDRESS(25,2+$G$98+($C$100-1)))</f>
        <v>362</v>
      </c>
      <c r="J105" s="14" t="s">
        <v>24</v>
      </c>
    </row>
    <row r="106" spans="1:17" ht="15.75" hidden="1" x14ac:dyDescent="0.25">
      <c r="A106">
        <v>2</v>
      </c>
      <c r="B106" s="16">
        <f t="shared" ref="B106:B125" ca="1" si="16">IF(B$100=1,H106,I106)</f>
        <v>578</v>
      </c>
      <c r="C106" s="14"/>
      <c r="D106" s="10"/>
      <c r="E106" s="10"/>
      <c r="H106" t="e">
        <f ca="1">INDIRECT(ADDRESS(59,2+$I$98+($C$100-1)))</f>
        <v>#VALUE!</v>
      </c>
      <c r="I106" s="15">
        <f ca="1">INDIRECT(ADDRESS(26,2+$G$98+($C$100-1)))</f>
        <v>578</v>
      </c>
      <c r="J106" s="14" t="s">
        <v>25</v>
      </c>
    </row>
    <row r="107" spans="1:17" ht="15.75" hidden="1" x14ac:dyDescent="0.25">
      <c r="A107">
        <v>3</v>
      </c>
      <c r="B107" s="16">
        <f ca="1">IF(B$100=1,H107,I107)</f>
        <v>723</v>
      </c>
      <c r="C107" s="14"/>
      <c r="D107" s="18"/>
      <c r="E107" s="18"/>
      <c r="H107" t="e">
        <f ca="1">INDIRECT(ADDRESS(60,2+$I$98+($C$100-1)))</f>
        <v>#VALUE!</v>
      </c>
      <c r="I107" s="15">
        <f ca="1">INDIRECT(ADDRESS(27,2+$G$98+($C$100-1)))</f>
        <v>723</v>
      </c>
      <c r="J107" s="14" t="s">
        <v>26</v>
      </c>
    </row>
    <row r="108" spans="1:17" ht="15.75" hidden="1" x14ac:dyDescent="0.25">
      <c r="A108">
        <v>4</v>
      </c>
      <c r="B108" s="16">
        <f t="shared" ca="1" si="16"/>
        <v>904</v>
      </c>
      <c r="C108" s="14"/>
      <c r="D108" s="18"/>
      <c r="E108" s="18"/>
      <c r="H108" t="e">
        <f ca="1">INDIRECT(ADDRESS(61,2+$I$98+($C$100-1)))</f>
        <v>#VALUE!</v>
      </c>
      <c r="I108" s="15">
        <f ca="1">INDIRECT(ADDRESS(28,2+$G$98+($C$100-1)))</f>
        <v>904</v>
      </c>
      <c r="J108" s="14" t="s">
        <v>27</v>
      </c>
    </row>
    <row r="109" spans="1:17" ht="15.75" hidden="1" x14ac:dyDescent="0.25">
      <c r="A109">
        <v>5</v>
      </c>
      <c r="B109" s="16">
        <f t="shared" ca="1" si="16"/>
        <v>1157</v>
      </c>
      <c r="C109" s="14"/>
      <c r="D109" s="18"/>
      <c r="E109" s="18"/>
      <c r="H109" t="e">
        <f ca="1">INDIRECT(ADDRESS(62,2+$I$98+($C$100-1)))</f>
        <v>#VALUE!</v>
      </c>
      <c r="I109" s="15">
        <f ca="1">INDIRECT(ADDRESS(29,2+$G$98+($C$100-1)))</f>
        <v>1157</v>
      </c>
      <c r="J109" s="14" t="s">
        <v>28</v>
      </c>
    </row>
    <row r="110" spans="1:17" ht="15.75" hidden="1" x14ac:dyDescent="0.25">
      <c r="A110">
        <v>6</v>
      </c>
      <c r="B110" s="16">
        <f t="shared" ca="1" si="16"/>
        <v>1446</v>
      </c>
      <c r="C110" s="14"/>
      <c r="D110" s="18"/>
      <c r="E110" s="18"/>
      <c r="H110" t="e">
        <f ca="1">INDIRECT(ADDRESS(63,2+$I$98+($C$100-1)))</f>
        <v>#VALUE!</v>
      </c>
      <c r="I110" s="15">
        <f ca="1">INDIRECT(ADDRESS(30,2+$G$98+($C$100-1)))</f>
        <v>1446</v>
      </c>
      <c r="J110" s="14" t="s">
        <v>29</v>
      </c>
    </row>
    <row r="111" spans="1:17" ht="15.75" hidden="1" x14ac:dyDescent="0.25">
      <c r="A111">
        <v>7</v>
      </c>
      <c r="B111" s="16">
        <f t="shared" ca="1" si="16"/>
        <v>1808</v>
      </c>
      <c r="C111" s="14"/>
      <c r="D111" s="18"/>
      <c r="E111" s="18"/>
      <c r="H111" t="e">
        <f ca="1">INDIRECT(ADDRESS(64,2+$I$98+($C$100-1)))</f>
        <v>#VALUE!</v>
      </c>
      <c r="I111" s="15">
        <f ca="1">INDIRECT(ADDRESS(31,2+$G$98+($C$100-1)))</f>
        <v>1808</v>
      </c>
      <c r="J111" s="14" t="s">
        <v>30</v>
      </c>
    </row>
    <row r="112" spans="1:17" ht="15.75" hidden="1" x14ac:dyDescent="0.25">
      <c r="A112">
        <v>8</v>
      </c>
      <c r="B112" s="16">
        <f t="shared" ca="1" si="16"/>
        <v>2277</v>
      </c>
      <c r="C112" s="14"/>
      <c r="D112" s="18"/>
      <c r="E112" s="18"/>
      <c r="H112" t="e">
        <f ca="1">INDIRECT(ADDRESS(65,2+$I$98+($C$100-1)))</f>
        <v>#VALUE!</v>
      </c>
      <c r="I112" s="15">
        <f ca="1">INDIRECT(ADDRESS(32,2+$G$98+($C$100-1)))</f>
        <v>2277</v>
      </c>
      <c r="J112" s="14" t="s">
        <v>31</v>
      </c>
    </row>
    <row r="113" spans="1:10" ht="15.75" hidden="1" x14ac:dyDescent="0.25">
      <c r="A113">
        <v>9</v>
      </c>
      <c r="B113" s="16">
        <f t="shared" ca="1" si="16"/>
        <v>2892</v>
      </c>
      <c r="C113" s="14"/>
      <c r="D113" s="18"/>
      <c r="E113" s="18"/>
      <c r="H113" t="e">
        <f ca="1">INDIRECT(ADDRESS(66,2+$I$98+($C$100-1)))</f>
        <v>#VALUE!</v>
      </c>
      <c r="I113" s="15">
        <f ca="1">INDIRECT(ADDRESS(33,2+$G$98+($C$100-1)))</f>
        <v>2892</v>
      </c>
      <c r="J113" s="14" t="s">
        <v>32</v>
      </c>
    </row>
    <row r="114" spans="1:10" ht="15.75" hidden="1" x14ac:dyDescent="0.25">
      <c r="A114">
        <v>10</v>
      </c>
      <c r="B114" s="16">
        <f t="shared" ca="1" si="16"/>
        <v>3615</v>
      </c>
      <c r="C114" s="14"/>
      <c r="D114" s="18"/>
      <c r="E114" s="18"/>
      <c r="H114" t="e">
        <f ca="1">INDIRECT(ADDRESS(67,2+$I$98+($C$100-1)))</f>
        <v>#VALUE!</v>
      </c>
      <c r="I114" s="15">
        <f ca="1">INDIRECT(ADDRESS(34,2+$G$98+($C$100-1)))</f>
        <v>3615</v>
      </c>
      <c r="J114" s="14" t="s">
        <v>33</v>
      </c>
    </row>
    <row r="115" spans="1:10" ht="15.75" hidden="1" x14ac:dyDescent="0.25">
      <c r="A115">
        <v>11</v>
      </c>
      <c r="B115" s="16">
        <f t="shared" ca="1" si="16"/>
        <v>4519</v>
      </c>
      <c r="C115" s="14"/>
      <c r="D115" s="18"/>
      <c r="E115" s="18"/>
      <c r="H115" t="e">
        <f ca="1">INDIRECT(ADDRESS(68,2+$I$98+($C$100-1)))</f>
        <v>#VALUE!</v>
      </c>
      <c r="I115" s="15">
        <f ca="1">INDIRECT(ADDRESS(35,2+$G$98+($C$100-1)))</f>
        <v>4519</v>
      </c>
      <c r="J115" s="14" t="s">
        <v>34</v>
      </c>
    </row>
    <row r="116" spans="1:10" ht="15.75" hidden="1" x14ac:dyDescent="0.25">
      <c r="A116">
        <v>12</v>
      </c>
      <c r="B116" s="16">
        <f t="shared" ca="1" si="16"/>
        <v>5784</v>
      </c>
      <c r="C116" s="14"/>
      <c r="D116" s="18"/>
      <c r="E116" s="18"/>
      <c r="H116" t="e">
        <f ca="1">INDIRECT(ADDRESS(69,2+$I$98+($C$100-1)))</f>
        <v>#VALUE!</v>
      </c>
      <c r="I116" s="15">
        <f ca="1">INDIRECT(ADDRESS(36,2+$G$98+($C$100-1)))</f>
        <v>5784</v>
      </c>
      <c r="J116" s="14" t="s">
        <v>35</v>
      </c>
    </row>
    <row r="117" spans="1:10" ht="15.75" hidden="1" x14ac:dyDescent="0.25">
      <c r="A117">
        <v>13</v>
      </c>
      <c r="B117" s="16">
        <f ca="1">IF(B$100=1,H117,I119)</f>
        <v>0</v>
      </c>
      <c r="C117" s="14"/>
      <c r="D117" s="18"/>
      <c r="E117" s="18"/>
      <c r="H117" t="e">
        <f ca="1">INDIRECT(ADDRESS(70,2+$I$98+($C$100-1)))</f>
        <v>#VALUE!</v>
      </c>
      <c r="I117" s="15">
        <f ca="1">INDIRECT(ADDRESS(37,2+$G$98+($C$100-1)))</f>
        <v>36.15</v>
      </c>
      <c r="J117" s="14" t="s">
        <v>36</v>
      </c>
    </row>
    <row r="118" spans="1:10" ht="15.75" hidden="1" x14ac:dyDescent="0.25">
      <c r="A118">
        <v>14</v>
      </c>
      <c r="B118" s="16">
        <f t="shared" ca="1" si="16"/>
        <v>12.05</v>
      </c>
      <c r="C118" s="14"/>
      <c r="D118" s="18"/>
      <c r="E118" s="18"/>
      <c r="H118" t="e">
        <f ca="1">INDIRECT(ADDRESS(71,2+$I$98+($C$100-1)))</f>
        <v>#VALUE!</v>
      </c>
      <c r="I118" s="15">
        <f ca="1">INDIRECT(ADDRESS(38,2+$G$98+($C$100-1)))</f>
        <v>12.05</v>
      </c>
      <c r="J118" s="14" t="s">
        <v>37</v>
      </c>
    </row>
    <row r="119" spans="1:10" ht="15.75" hidden="1" x14ac:dyDescent="0.25">
      <c r="B119" s="16">
        <f ca="1">IF(B$100=1,H119,I117)</f>
        <v>36.15</v>
      </c>
      <c r="C119" s="14"/>
      <c r="D119" s="18"/>
      <c r="E119" s="18"/>
      <c r="H119" t="e">
        <f ca="1">INDIRECT(ADDRESS(72,2+$I$98+($C$100-1)))</f>
        <v>#VALUE!</v>
      </c>
      <c r="I119" s="15">
        <f ca="1">INDIRECT(ADDRESS(39,2+$G$98+($C$100-1)))</f>
        <v>0</v>
      </c>
      <c r="J119" s="14" t="s">
        <v>36</v>
      </c>
    </row>
    <row r="120" spans="1:10" ht="15.75" hidden="1" x14ac:dyDescent="0.25">
      <c r="B120" s="51">
        <f ca="1">IF(B$100=1,H120,I120)</f>
        <v>257.97000000000003</v>
      </c>
      <c r="C120" s="21" t="s">
        <v>74</v>
      </c>
      <c r="D120" s="18"/>
      <c r="E120" s="18"/>
      <c r="H120" t="e">
        <f ca="1">INDIRECT(ADDRESS(74,2+$I$98+($C$100-1)))</f>
        <v>#VALUE!</v>
      </c>
      <c r="I120" s="15">
        <f ca="1">INDIRECT(ADDRESS(40,2+$G$98+($C$100-1)))</f>
        <v>257.97000000000003</v>
      </c>
    </row>
    <row r="121" spans="1:10" ht="15.75" hidden="1" x14ac:dyDescent="0.25">
      <c r="B121" s="51">
        <f t="shared" ca="1" si="16"/>
        <v>189.26</v>
      </c>
      <c r="C121" s="21" t="s">
        <v>75</v>
      </c>
      <c r="D121" s="19"/>
      <c r="E121" s="19"/>
      <c r="H121" t="e">
        <f ca="1">INDIRECT(ADDRESS(75,2+$I$98+($C$100-1)))</f>
        <v>#VALUE!</v>
      </c>
      <c r="I121" s="15">
        <f ca="1">INDIRECT(ADDRESS(41,2+$G$98+($C$100-1)))</f>
        <v>189.26</v>
      </c>
    </row>
    <row r="122" spans="1:10" ht="15.75" hidden="1" x14ac:dyDescent="0.25">
      <c r="B122" s="51">
        <f ca="1">IF(B$100=1,H122,I122)</f>
        <v>113.53</v>
      </c>
      <c r="C122" s="19" t="s">
        <v>86</v>
      </c>
      <c r="D122" s="19"/>
      <c r="E122" s="19"/>
      <c r="H122" t="e">
        <f ca="1">INDIRECT(ADDRESS(76,2+$I$98+($C$100-1)))</f>
        <v>#VALUE!</v>
      </c>
      <c r="I122" s="15">
        <f ca="1">INDIRECT(ADDRESS(42,2+$G$98+($C$100-1)))</f>
        <v>113.53</v>
      </c>
      <c r="J122" s="14" t="s">
        <v>41</v>
      </c>
    </row>
    <row r="123" spans="1:10" ht="15.75" hidden="1" x14ac:dyDescent="0.25">
      <c r="B123" s="51">
        <f t="shared" ca="1" si="16"/>
        <v>495</v>
      </c>
      <c r="C123" s="22" t="s">
        <v>142</v>
      </c>
      <c r="D123" s="20"/>
      <c r="E123" s="20"/>
      <c r="H123" t="e">
        <f ca="1">INDIRECT(ADDRESS(77,2+$I$98+($C$100-1)))</f>
        <v>#VALUE!</v>
      </c>
      <c r="I123" s="15">
        <f ca="1">INDIRECT(ADDRESS(43,2+$G$98+($C$100-1)))</f>
        <v>495</v>
      </c>
      <c r="J123" s="14" t="s">
        <v>42</v>
      </c>
    </row>
    <row r="124" spans="1:10" ht="15.75" hidden="1" x14ac:dyDescent="0.25">
      <c r="B124" s="51">
        <f t="shared" ca="1" si="16"/>
        <v>11.84</v>
      </c>
      <c r="C124" s="54" t="s">
        <v>143</v>
      </c>
      <c r="D124" s="17"/>
      <c r="E124" s="17"/>
      <c r="H124" t="e">
        <f ca="1">INDIRECT(ADDRESS(78,2+$I$98+($C$100-1)))</f>
        <v>#VALUE!</v>
      </c>
      <c r="I124" s="15">
        <f ca="1">INDIRECT(ADDRESS(44,2+$G$98+($C$100-1)))</f>
        <v>11.84</v>
      </c>
      <c r="J124" s="14" t="s">
        <v>138</v>
      </c>
    </row>
    <row r="125" spans="1:10" ht="15.75" hidden="1" x14ac:dyDescent="0.25">
      <c r="B125" s="51">
        <f t="shared" ca="1" si="16"/>
        <v>4.2</v>
      </c>
      <c r="C125" s="50" t="s">
        <v>144</v>
      </c>
      <c r="D125" s="17"/>
      <c r="E125" s="17"/>
      <c r="H125" t="e">
        <f ca="1">INDIRECT(ADDRESS(79,2+$I$98+($C$100-1)))</f>
        <v>#VALUE!</v>
      </c>
      <c r="I125" s="15">
        <f ca="1">INDIRECT(ADDRESS(45,2+$G$98+($C$100-1)))</f>
        <v>4.2</v>
      </c>
      <c r="J125" s="14" t="s">
        <v>139</v>
      </c>
    </row>
    <row r="126" spans="1:10" hidden="1" x14ac:dyDescent="0.25">
      <c r="B126" s="17"/>
      <c r="C126" s="17"/>
      <c r="D126" s="17"/>
      <c r="E126" s="17"/>
    </row>
    <row r="127" spans="1:10" hidden="1" x14ac:dyDescent="0.25">
      <c r="B127" s="52">
        <f ca="1">INDIRECT(ADDRESS(104+$D$127,2))</f>
        <v>1446</v>
      </c>
      <c r="C127" s="17" t="s">
        <v>89</v>
      </c>
      <c r="D127" s="23">
        <f>IF($B$100=1,J100,K100)</f>
        <v>6</v>
      </c>
      <c r="E127" s="17"/>
    </row>
    <row r="128" spans="1:10" hidden="1" x14ac:dyDescent="0.25">
      <c r="B128" s="17"/>
      <c r="C128" s="17"/>
      <c r="D128" s="17"/>
      <c r="E128" s="17"/>
    </row>
    <row r="129" spans="2:9" ht="15.75" hidden="1" x14ac:dyDescent="0.25">
      <c r="B129" s="51">
        <f ca="1">IF(navrh!G44=0,IF(B$100=1,H129,I129),navrh!G44)</f>
        <v>2700</v>
      </c>
      <c r="C129" s="51">
        <f ca="1">IF(navrh!G18=0,IF(B$100=1,H129,I129),navrh!G18)</f>
        <v>2700</v>
      </c>
      <c r="D129" s="10"/>
      <c r="E129" s="10"/>
      <c r="G129" t="s">
        <v>84</v>
      </c>
      <c r="H129" t="e">
        <f ca="1">INDIRECT(ADDRESS(53,2+$I$98))</f>
        <v>#VALUE!</v>
      </c>
      <c r="I129">
        <f ca="1">INDIRECT(ADDRESS(20,2+$G$98))</f>
        <v>2700</v>
      </c>
    </row>
    <row r="130" spans="2:9" hidden="1" x14ac:dyDescent="0.25"/>
    <row r="131" spans="2:9" hidden="1" x14ac:dyDescent="0.25"/>
  </sheetData>
  <sheetProtection selectLockedCells="1"/>
  <mergeCells count="20">
    <mergeCell ref="T17:V17"/>
    <mergeCell ref="W17:Y17"/>
    <mergeCell ref="Z17:AB17"/>
    <mergeCell ref="AC17:AE17"/>
    <mergeCell ref="AF17:AH17"/>
    <mergeCell ref="B50:D50"/>
    <mergeCell ref="E50:G50"/>
    <mergeCell ref="H50:J50"/>
    <mergeCell ref="K50:M50"/>
    <mergeCell ref="N50:P50"/>
    <mergeCell ref="B17:D17"/>
    <mergeCell ref="E17:G17"/>
    <mergeCell ref="H17:J17"/>
    <mergeCell ref="K17:M17"/>
    <mergeCell ref="N17:P17"/>
    <mergeCell ref="Q17:S17"/>
    <mergeCell ref="Q50:S50"/>
    <mergeCell ref="T50:V50"/>
    <mergeCell ref="W50:Y50"/>
    <mergeCell ref="Z50:AB50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navrh</vt:lpstr>
      <vt:lpstr>cenik</vt:lpstr>
      <vt:lpstr>navrh!Oblast_tisku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pastyrik</dc:creator>
  <cp:lastModifiedBy>pastyrik jakub</cp:lastModifiedBy>
  <cp:lastPrinted>2013-12-16T08:25:55Z</cp:lastPrinted>
  <dcterms:created xsi:type="dcterms:W3CDTF">2013-06-24T12:03:18Z</dcterms:created>
  <dcterms:modified xsi:type="dcterms:W3CDTF">2021-12-15T08:25:39Z</dcterms:modified>
</cp:coreProperties>
</file>