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33B75FE-1AD0-4D2F-952A-F1FA5854D926}" xr6:coauthVersionLast="47" xr6:coauthVersionMax="47" xr10:uidLastSave="{00000000-0000-0000-0000-000000000000}"/>
  <bookViews>
    <workbookView xWindow="6390" yWindow="2340" windowWidth="21600" windowHeight="12735" xr2:uid="{00000000-000D-0000-FFFF-FFFF00000000}"/>
  </bookViews>
  <sheets>
    <sheet name="navrh" sheetId="1" r:id="rId1"/>
    <sheet name="cenik" sheetId="4" r:id="rId2"/>
  </sheets>
  <definedNames>
    <definedName name="_xlnm.Print_Area" localSheetId="1">cenik!$A$19:$P$31</definedName>
    <definedName name="_xlnm.Print_Area" localSheetId="0">navrh!$A$1:$H$48</definedName>
  </definedNames>
  <calcPr calcId="191029"/>
</workbook>
</file>

<file path=xl/calcChain.xml><?xml version="1.0" encoding="utf-8"?>
<calcChain xmlns="http://schemas.openxmlformats.org/spreadsheetml/2006/main">
  <c r="T20" i="1" l="1"/>
  <c r="K18" i="4"/>
  <c r="J18" i="4"/>
  <c r="P18" i="4" s="1"/>
  <c r="I18" i="4"/>
  <c r="O18" i="4" s="1"/>
  <c r="K17" i="4"/>
  <c r="J17" i="4"/>
  <c r="P17" i="4" s="1"/>
  <c r="I17" i="4"/>
  <c r="O17" i="4" s="1"/>
  <c r="N18" i="4"/>
  <c r="N17" i="4"/>
  <c r="D18" i="4"/>
  <c r="F18" i="4"/>
  <c r="H29" i="4"/>
  <c r="H30" i="4"/>
  <c r="H31" i="4"/>
  <c r="G31" i="4"/>
  <c r="G30" i="4"/>
  <c r="G29" i="4"/>
  <c r="L31" i="4"/>
  <c r="L30" i="4"/>
  <c r="L29" i="4"/>
  <c r="L27" i="4"/>
  <c r="G27" i="4"/>
  <c r="G23" i="4"/>
  <c r="L23" i="4"/>
  <c r="L20" i="4"/>
  <c r="G20" i="4"/>
  <c r="H19" i="4"/>
  <c r="H20" i="4"/>
  <c r="M19" i="4"/>
  <c r="M31" i="4"/>
  <c r="M30" i="4"/>
  <c r="M29" i="4"/>
  <c r="M27" i="4"/>
  <c r="H27" i="4"/>
  <c r="M20" i="4"/>
  <c r="M23" i="4"/>
  <c r="H23" i="4"/>
  <c r="P28" i="4"/>
  <c r="N28" i="4"/>
  <c r="K28" i="4"/>
  <c r="I28" i="4"/>
  <c r="F28" i="4"/>
  <c r="D28" i="4"/>
  <c r="K24" i="4"/>
  <c r="K25" i="4" s="1"/>
  <c r="K26" i="4" s="1"/>
  <c r="I24" i="4"/>
  <c r="I25" i="4" s="1"/>
  <c r="I26" i="4" s="1"/>
  <c r="D24" i="4"/>
  <c r="D25" i="4" s="1"/>
  <c r="D26" i="4" s="1"/>
  <c r="F24" i="4"/>
  <c r="F25" i="4" s="1"/>
  <c r="F26" i="4" s="1"/>
  <c r="F21" i="4"/>
  <c r="F22" i="4" s="1"/>
  <c r="N24" i="4"/>
  <c r="N25" i="4" s="1"/>
  <c r="N26" i="4" s="1"/>
  <c r="P24" i="4"/>
  <c r="P25" i="4" s="1"/>
  <c r="P26" i="4" s="1"/>
  <c r="P21" i="4"/>
  <c r="P22" i="4" s="1"/>
  <c r="N21" i="4"/>
  <c r="N22" i="4" s="1"/>
  <c r="K21" i="4"/>
  <c r="K22" i="4" s="1"/>
  <c r="I21" i="4"/>
  <c r="I22" i="4" s="1"/>
  <c r="D21" i="4"/>
  <c r="D22" i="4" s="1"/>
  <c r="C5" i="1"/>
  <c r="C28" i="4"/>
  <c r="M28" i="4" s="1"/>
  <c r="B28" i="4"/>
  <c r="C26" i="4"/>
  <c r="H26" i="4" s="1"/>
  <c r="C25" i="4"/>
  <c r="M25" i="4" s="1"/>
  <c r="C24" i="4"/>
  <c r="M24" i="4" s="1"/>
  <c r="B26" i="4"/>
  <c r="B25" i="4"/>
  <c r="B24" i="4"/>
  <c r="C22" i="4"/>
  <c r="M22" i="4" s="1"/>
  <c r="C21" i="4"/>
  <c r="M21" i="4" s="1"/>
  <c r="B22" i="4"/>
  <c r="B21" i="4"/>
  <c r="L28" i="4"/>
  <c r="L26" i="4"/>
  <c r="H21" i="4" l="1"/>
  <c r="H25" i="4"/>
  <c r="M26" i="4"/>
  <c r="H22" i="4"/>
  <c r="H28" i="4"/>
  <c r="H24" i="4"/>
  <c r="G28" i="4"/>
  <c r="G25" i="4"/>
  <c r="G26" i="4"/>
  <c r="L24" i="4"/>
  <c r="L25" i="4"/>
  <c r="G24" i="4"/>
  <c r="G21" i="4"/>
  <c r="L21" i="4" s="1"/>
  <c r="G22" i="4"/>
  <c r="L22" i="4" s="1"/>
  <c r="BB16" i="4"/>
  <c r="BB17" i="4"/>
  <c r="E24" i="1" l="1"/>
  <c r="AA3" i="1"/>
  <c r="D25" i="1"/>
  <c r="X13" i="1"/>
  <c r="E25" i="1" l="1"/>
  <c r="Y2" i="1"/>
  <c r="Y3" i="1"/>
  <c r="Y4" i="1"/>
  <c r="Y5" i="1"/>
  <c r="Y6" i="1"/>
  <c r="Y7" i="1"/>
  <c r="Y8" i="1"/>
  <c r="Y9" i="1"/>
  <c r="Y10" i="1"/>
  <c r="Y11" i="1"/>
  <c r="Y12" i="1"/>
  <c r="Y13" i="1"/>
  <c r="Y1" i="1"/>
  <c r="X2" i="1"/>
  <c r="X3" i="1"/>
  <c r="X4" i="1"/>
  <c r="X5" i="1"/>
  <c r="X6" i="1"/>
  <c r="X7" i="1"/>
  <c r="X8" i="1"/>
  <c r="X9" i="1"/>
  <c r="X10" i="1"/>
  <c r="X11" i="1"/>
  <c r="X12" i="1"/>
  <c r="X1" i="1"/>
  <c r="Z12" i="1" l="1"/>
  <c r="Z8" i="1"/>
  <c r="Z4" i="1"/>
  <c r="Z13" i="1"/>
  <c r="Z9" i="1"/>
  <c r="Z5" i="1"/>
  <c r="Z1" i="1"/>
  <c r="Z10" i="1"/>
  <c r="Z6" i="1"/>
  <c r="Z2" i="1"/>
  <c r="Z7" i="1"/>
  <c r="Z3" i="1"/>
  <c r="Z11" i="1"/>
  <c r="Z20" i="1" l="1"/>
  <c r="BC16" i="4" s="1"/>
  <c r="BB22" i="4"/>
  <c r="AB8" i="1" l="1"/>
  <c r="W20" i="1"/>
  <c r="BB21" i="4"/>
  <c r="BB23" i="4"/>
  <c r="BB19" i="4"/>
  <c r="W23" i="1"/>
  <c r="BB20" i="4"/>
  <c r="AB9" i="1" l="1"/>
  <c r="AB7" i="1"/>
  <c r="D22" i="1" s="1"/>
  <c r="E22" i="1" s="1"/>
  <c r="AB6" i="1"/>
  <c r="C8" i="1"/>
  <c r="AB5" i="1"/>
  <c r="D21" i="1" s="1"/>
  <c r="E21" i="1" s="1"/>
  <c r="D17" i="1"/>
  <c r="D23" i="1"/>
  <c r="E23" i="1" s="1"/>
  <c r="E17" i="1" l="1"/>
  <c r="E35" i="1" s="1"/>
  <c r="D18" i="1" l="1"/>
  <c r="E18" i="1"/>
  <c r="E36" i="1" l="1"/>
  <c r="E39" i="1" s="1"/>
  <c r="E28" i="1"/>
  <c r="E30" i="1" s="1"/>
  <c r="E32" i="1" s="1"/>
</calcChain>
</file>

<file path=xl/sharedStrings.xml><?xml version="1.0" encoding="utf-8"?>
<sst xmlns="http://schemas.openxmlformats.org/spreadsheetml/2006/main" count="173" uniqueCount="104">
  <si>
    <t xml:space="preserve"> </t>
  </si>
  <si>
    <t>Klient:</t>
  </si>
  <si>
    <t>P r o p e r t i J a  K u B  P A s T y r i k</t>
  </si>
  <si>
    <t>Provozovatelé distribučních soustav</t>
  </si>
  <si>
    <t>Sazba</t>
  </si>
  <si>
    <t>Provozovatel DS</t>
  </si>
  <si>
    <t>Vaše roční platba</t>
  </si>
  <si>
    <t>Ceníková položka</t>
  </si>
  <si>
    <t xml:space="preserve"> - platba za odběrné místo v Kč/měs:</t>
  </si>
  <si>
    <t xml:space="preserve"> - z platu za činnost OTE v Kč/MWh:</t>
  </si>
  <si>
    <t>Měsíční záloha v Kč</t>
  </si>
  <si>
    <t>Platba celkem za rok s DPH v Kč</t>
  </si>
  <si>
    <t>Platba celkem za rok bez DPH v Kč</t>
  </si>
  <si>
    <t>E.ON Distribuce, a.s., IČ: 28085400, F.A.Gerstnera 2151/6, České Budějovice.</t>
  </si>
  <si>
    <t>JMP Net, s.r.o., IČ: 27689841, Plynárenská 499/1, Brno.</t>
  </si>
  <si>
    <t>Pražská plynárenská Distribuce, a.s., IČ: 27403505, U Plynárny 500, Praha 4.</t>
  </si>
  <si>
    <t>SMP Net, s.r.o., IČ: 27768961, Hornopolní 3314/38, Ostrava.</t>
  </si>
  <si>
    <t>VČP Net, s.r.o., IČ: 27495949, Pražská třída 485, Hradec Králové.</t>
  </si>
  <si>
    <t>RWE GasNet, s.r.o., IČ: 27295567, Klíšská 940, Ústí nad Labem.</t>
  </si>
  <si>
    <t>Přepočtená roční spotřeba v odběrném místě v pásmu „nad - do včetně" MWh/rok</t>
  </si>
  <si>
    <t>Cena za odebraný zemní plyn a ostatní služby dodávky</t>
  </si>
  <si>
    <t>Cena distribuce</t>
  </si>
  <si>
    <t>PPD</t>
  </si>
  <si>
    <t>RWE  GasNet</t>
  </si>
  <si>
    <t xml:space="preserve">Cena za odebraný zemní plyn v Kč/MWh </t>
  </si>
  <si>
    <t xml:space="preserve">Stálý měsíční plat v Kč/měsíc  </t>
  </si>
  <si>
    <t>63-630</t>
  </si>
  <si>
    <t>x</t>
  </si>
  <si>
    <t>55-63</t>
  </si>
  <si>
    <t>50-55</t>
  </si>
  <si>
    <t>45-50</t>
  </si>
  <si>
    <t>40-45</t>
  </si>
  <si>
    <t>35-40</t>
  </si>
  <si>
    <t>30-35</t>
  </si>
  <si>
    <t>25-30</t>
  </si>
  <si>
    <t>20-25</t>
  </si>
  <si>
    <t>15-20</t>
  </si>
  <si>
    <t>7,56-15</t>
  </si>
  <si>
    <t>1,89-7,56</t>
  </si>
  <si>
    <t>0-1,89</t>
  </si>
  <si>
    <r>
      <t>Pro odběrné místo s roční spotřebou nad 63 do 630 MWh se  počítá roční platba za kapacitní složku ceny distribuce dle vztahu: MP</t>
    </r>
    <r>
      <rPr>
        <vertAlign val="subscript"/>
        <sz val="10"/>
        <rFont val="Calibri"/>
        <family val="2"/>
        <charset val="238"/>
      </rPr>
      <t xml:space="preserve">ps </t>
    </r>
    <r>
      <rPr>
        <sz val="10"/>
        <rFont val="Calibri"/>
        <family val="2"/>
        <charset val="238"/>
      </rPr>
      <t>= C</t>
    </r>
    <r>
      <rPr>
        <vertAlign val="subscript"/>
        <sz val="10"/>
        <rFont val="Calibri"/>
        <family val="2"/>
        <charset val="238"/>
      </rPr>
      <t>ps</t>
    </r>
    <r>
      <rPr>
        <sz val="10"/>
        <rFont val="Calibri"/>
        <family val="2"/>
        <charset val="238"/>
      </rPr>
      <t xml:space="preserve"> * RK, kde RK je denní přidělená pevná kapacita v daném odběrném místě v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, </t>
    </r>
  </si>
  <si>
    <r>
      <t>určená dle vzorce: RK = RS/110 (RS je roční odběr v daném místě spotřeby v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), C</t>
    </r>
    <r>
      <rPr>
        <vertAlign val="subscript"/>
        <sz val="10"/>
        <rFont val="Calibri"/>
        <family val="2"/>
        <charset val="238"/>
      </rPr>
      <t xml:space="preserve">ps </t>
    </r>
    <r>
      <rPr>
        <sz val="10"/>
        <rFont val="Calibri"/>
        <family val="2"/>
        <charset val="238"/>
      </rPr>
      <t xml:space="preserve">je cena za kapacitu dle ceníku (sloupec 4*). </t>
    </r>
  </si>
  <si>
    <t>Vždy je k celkové ceně přičtena DPH (dnes 21 %).</t>
  </si>
  <si>
    <t>Roční spotřeba [MWh/rok]</t>
  </si>
  <si>
    <t>Roční spotřeba [m3/rok]</t>
  </si>
  <si>
    <t>Domácnost</t>
  </si>
  <si>
    <t>Firma</t>
  </si>
  <si>
    <t>Konstanta pro přep. objemu</t>
  </si>
  <si>
    <t>Orient. kalkulačka plyn</t>
  </si>
  <si>
    <t>63-630*</t>
  </si>
  <si>
    <t>Odběrové pásmo</t>
  </si>
  <si>
    <t>pevna cena - distr</t>
  </si>
  <si>
    <t>roční vetší 630</t>
  </si>
  <si>
    <t>distrib</t>
  </si>
  <si>
    <t>pasmo</t>
  </si>
  <si>
    <t>stala za kap - distr</t>
  </si>
  <si>
    <t>cena komodita CT</t>
  </si>
  <si>
    <t>cena komodita stala</t>
  </si>
  <si>
    <t>Cena za odebraný plyn:</t>
  </si>
  <si>
    <t>Cena za distribuci plynu:</t>
  </si>
  <si>
    <t xml:space="preserve"> - cena za odebraný zemní plyn v Kč/MWh:</t>
  </si>
  <si>
    <t xml:space="preserve"> - pevná cena za odebraný zemní plyn v Kč/MWh:</t>
  </si>
  <si>
    <t xml:space="preserve"> - Daň z plynu Kč/MWh:</t>
  </si>
  <si>
    <t xml:space="preserve"> - stálý měsíční plat za kapacitu v Kč/měsíc:</t>
  </si>
  <si>
    <t xml:space="preserve"> - pevná roční cena za denní rez. kapacitu v Kč/tis.m3:</t>
  </si>
  <si>
    <t>Postupu výpočtu celkové roční platby bez DPH:</t>
  </si>
  <si>
    <r>
      <t>Roční spotřeba domácnosti: 100 MWh (tj. cca 9461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 xml:space="preserve"> plynu) </t>
    </r>
  </si>
  <si>
    <t>Distribuční oblast: E.ON</t>
  </si>
  <si>
    <r>
      <rPr>
        <b/>
        <sz val="10"/>
        <rFont val="Calibri"/>
        <family val="2"/>
        <charset val="238"/>
      </rPr>
      <t>Celková platba za plyn</t>
    </r>
    <r>
      <rPr>
        <sz val="10"/>
        <rFont val="Calibri"/>
        <family val="2"/>
        <charset val="238"/>
      </rPr>
      <t xml:space="preserve"> = Stálé měsíční platby + Cena za odebraný plyn + Roční platba za kapacitní složku ceny</t>
    </r>
  </si>
  <si>
    <r>
      <rPr>
        <b/>
        <sz val="10"/>
        <rFont val="Calibri"/>
        <family val="2"/>
        <charset val="238"/>
      </rPr>
      <t>Stálé měsíční platby</t>
    </r>
    <r>
      <rPr>
        <sz val="10"/>
        <rFont val="Calibri"/>
        <family val="2"/>
        <charset val="238"/>
      </rPr>
      <t xml:space="preserve"> = (sloupec 2* x 12) = 0 x 12 = 0 Kč</t>
    </r>
  </si>
  <si>
    <r>
      <rPr>
        <b/>
        <sz val="10"/>
        <rFont val="Calibri"/>
        <family val="2"/>
        <charset val="238"/>
      </rPr>
      <t>Cena za odebraný plyn</t>
    </r>
    <r>
      <rPr>
        <sz val="10"/>
        <rFont val="Calibri"/>
        <family val="2"/>
        <charset val="238"/>
      </rPr>
      <t xml:space="preserve"> = (sloupec 1* + sloupec 3* + Platba za činnost OTE) x Roční spotřeba v MWh = (810+185,79+2,16) x 100 = 99 795 Kč</t>
    </r>
  </si>
  <si>
    <r>
      <rPr>
        <b/>
        <sz val="10"/>
        <rFont val="Calibri"/>
        <family val="2"/>
        <charset val="238"/>
      </rPr>
      <t>Roční platba za kapacitní složku ceny</t>
    </r>
    <r>
      <rPr>
        <sz val="10"/>
        <rFont val="Calibri"/>
        <family val="2"/>
        <charset val="238"/>
      </rPr>
      <t xml:space="preserve"> = Cps x RK = sloupec 4* x (RS/110)/1000 = 115199,42 x (9461/110)/1000 = 9908,2 Kč</t>
    </r>
  </si>
  <si>
    <r>
      <rPr>
        <b/>
        <sz val="10"/>
        <rFont val="Calibri"/>
        <family val="2"/>
        <charset val="238"/>
      </rPr>
      <t>Celková platba za plyn bez DPH</t>
    </r>
    <r>
      <rPr>
        <sz val="10"/>
        <rFont val="Calibri"/>
        <family val="2"/>
        <charset val="238"/>
      </rPr>
      <t xml:space="preserve"> = 0 + 99 795 + 9 908,2 = 109 703,2 Kč</t>
    </r>
  </si>
  <si>
    <t>Pozn.: Tato verze funguje pro MS Excel 2007 a vyšší</t>
  </si>
  <si>
    <t>Individuální cena</t>
  </si>
  <si>
    <t>**</t>
  </si>
  <si>
    <t>Současná platba za odběrné místo v Kč/měs</t>
  </si>
  <si>
    <t>Současná cena za odebraný zemní plyn v Kč/MWh</t>
  </si>
  <si>
    <t>Úspora pro klienta ČT:</t>
  </si>
  <si>
    <t>Úspora celkem pro klienta za rok s DPH v Kč</t>
  </si>
  <si>
    <t xml:space="preserve"> - za odebraný zenmí plyn</t>
  </si>
  <si>
    <t xml:space="preserve"> -  platba za odběrné místo</t>
  </si>
  <si>
    <t>RWE GasNet</t>
  </si>
  <si>
    <t>***</t>
  </si>
  <si>
    <t>****</t>
  </si>
  <si>
    <t>***) Měsíční záloha zaokrouhlena na stovky</t>
  </si>
  <si>
    <t>**) Zde můžete zákazníkovi zadat individuální cenu za MWh, jinak ponechte hodnotu 0</t>
  </si>
  <si>
    <t>*) Kalkulačka počíta orienatačně i odběry nad 630 MWh, ale je nutná konzultace s obchodním zástupcem ČT</t>
  </si>
  <si>
    <t>Tomáš Větrník</t>
  </si>
  <si>
    <t>****) Tato hodnota se výnosem vlády mění</t>
  </si>
  <si>
    <t>EG.D, a.s. (dříve E.ON Distribuce)</t>
  </si>
  <si>
    <t>Plati od:</t>
  </si>
  <si>
    <t xml:space="preserve">K ceně plynu se vždy připočítávají platby za činnost Operátora trhu (2,44 Kč/MWh),  daň z plynu ve výši 30,60 Kč/MWh se přičítá vždy, když se nejedná o dodávku plynu pro byty (z dodávky do bytů se daň  neodvádí). </t>
  </si>
  <si>
    <t>CENÍK    TREND</t>
  </si>
  <si>
    <t>X</t>
  </si>
  <si>
    <t>TREND MOST KLASIK MODOM FIX</t>
  </si>
  <si>
    <t>Pevná cena za distribuovaný zemní plyn</t>
  </si>
  <si>
    <t>Pevná roční cena za denní rezervovanou pevnou distribuční kapacitu</t>
  </si>
  <si>
    <t>Stálý měsíční plat za kapacitu</t>
  </si>
  <si>
    <t>Kč/tis.m3</t>
  </si>
  <si>
    <t>Kč/MWh</t>
  </si>
  <si>
    <t>Kč/měs.</t>
  </si>
  <si>
    <t>EG.D (dříve E.ON)</t>
  </si>
  <si>
    <t>Platnost od 1.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</si>
</sst>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_ ;\-#,##0.00\ 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6"/>
      <color theme="6" tint="-0.249977111117893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0" fillId="5" borderId="12" xfId="0" applyFont="1" applyFill="1" applyBorder="1"/>
    <xf numFmtId="0" fontId="10" fillId="5" borderId="12" xfId="0" applyFont="1" applyFill="1" applyBorder="1" applyAlignment="1">
      <alignment horizontal="center"/>
    </xf>
    <xf numFmtId="0" fontId="11" fillId="3" borderId="5" xfId="0" applyFont="1" applyFill="1" applyBorder="1"/>
    <xf numFmtId="0" fontId="11" fillId="3" borderId="6" xfId="0" applyFont="1" applyFill="1" applyBorder="1"/>
    <xf numFmtId="0" fontId="12" fillId="0" borderId="0" xfId="0" applyFont="1"/>
    <xf numFmtId="4" fontId="0" fillId="4" borderId="2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4" fontId="0" fillId="4" borderId="4" xfId="0" applyNumberFormat="1" applyFill="1" applyBorder="1" applyAlignment="1" applyProtection="1">
      <alignment horizontal="right"/>
      <protection hidden="1"/>
    </xf>
    <xf numFmtId="0" fontId="10" fillId="0" borderId="0" xfId="0" applyFont="1"/>
    <xf numFmtId="0" fontId="11" fillId="0" borderId="0" xfId="0" applyFont="1"/>
    <xf numFmtId="0" fontId="15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2" fillId="0" borderId="0" xfId="0" applyFont="1"/>
    <xf numFmtId="4" fontId="15" fillId="7" borderId="4" xfId="0" applyNumberFormat="1" applyFont="1" applyFill="1" applyBorder="1"/>
    <xf numFmtId="4" fontId="4" fillId="0" borderId="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top"/>
    </xf>
    <xf numFmtId="0" fontId="13" fillId="6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26" fillId="5" borderId="12" xfId="0" applyFont="1" applyFill="1" applyBorder="1" applyProtection="1">
      <protection hidden="1"/>
    </xf>
    <xf numFmtId="0" fontId="0" fillId="0" borderId="23" xfId="0" applyBorder="1" applyAlignment="1" applyProtection="1">
      <alignment horizontal="right"/>
      <protection hidden="1"/>
    </xf>
    <xf numFmtId="0" fontId="23" fillId="0" borderId="29" xfId="0" applyFont="1" applyBorder="1" applyAlignment="1">
      <alignment horizontal="center" vertical="center" wrapText="1"/>
    </xf>
    <xf numFmtId="0" fontId="11" fillId="3" borderId="32" xfId="0" applyFont="1" applyFill="1" applyBorder="1"/>
    <xf numFmtId="0" fontId="0" fillId="4" borderId="26" xfId="0" applyFill="1" applyBorder="1" applyAlignment="1" applyProtection="1">
      <alignment horizontal="center"/>
      <protection locked="0"/>
    </xf>
    <xf numFmtId="0" fontId="11" fillId="0" borderId="33" xfId="0" applyFont="1" applyBorder="1"/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15" fillId="7" borderId="37" xfId="0" applyNumberFormat="1" applyFont="1" applyFill="1" applyBorder="1"/>
    <xf numFmtId="4" fontId="4" fillId="0" borderId="37" xfId="0" applyNumberFormat="1" applyFont="1" applyBorder="1" applyAlignment="1">
      <alignment horizontal="center" vertical="top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top"/>
    </xf>
    <xf numFmtId="0" fontId="15" fillId="8" borderId="0" xfId="0" applyFont="1" applyFill="1" applyAlignment="1">
      <alignment horizontal="center" vertical="center" wrapText="1"/>
    </xf>
    <xf numFmtId="4" fontId="15" fillId="8" borderId="0" xfId="0" applyNumberFormat="1" applyFont="1" applyFill="1"/>
    <xf numFmtId="4" fontId="4" fillId="8" borderId="0" xfId="0" applyNumberFormat="1" applyFont="1" applyFill="1" applyAlignment="1">
      <alignment horizontal="center" vertical="top"/>
    </xf>
    <xf numFmtId="4" fontId="11" fillId="8" borderId="0" xfId="0" applyNumberFormat="1" applyFont="1" applyFill="1" applyAlignment="1">
      <alignment horizontal="center"/>
    </xf>
    <xf numFmtId="4" fontId="11" fillId="8" borderId="0" xfId="0" applyNumberFormat="1" applyFont="1" applyFill="1" applyAlignment="1">
      <alignment horizontal="center" vertical="center"/>
    </xf>
    <xf numFmtId="4" fontId="4" fillId="8" borderId="0" xfId="0" applyNumberFormat="1" applyFont="1" applyFill="1" applyAlignment="1">
      <alignment horizontal="center" vertical="center" wrapText="1"/>
    </xf>
    <xf numFmtId="0" fontId="4" fillId="0" borderId="38" xfId="0" applyFont="1" applyBorder="1" applyAlignment="1">
      <alignment horizontal="center" vertical="top"/>
    </xf>
    <xf numFmtId="4" fontId="15" fillId="7" borderId="39" xfId="0" applyNumberFormat="1" applyFont="1" applyFill="1" applyBorder="1"/>
    <xf numFmtId="4" fontId="4" fillId="0" borderId="39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/>
    </xf>
    <xf numFmtId="4" fontId="4" fillId="0" borderId="42" xfId="0" applyNumberFormat="1" applyFont="1" applyBorder="1" applyAlignment="1">
      <alignment horizontal="center" vertical="top"/>
    </xf>
    <xf numFmtId="4" fontId="4" fillId="0" borderId="43" xfId="0" applyNumberFormat="1" applyFont="1" applyBorder="1" applyAlignment="1">
      <alignment horizontal="center" vertical="top"/>
    </xf>
    <xf numFmtId="4" fontId="4" fillId="0" borderId="44" xfId="0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4" fontId="0" fillId="0" borderId="0" xfId="0" applyNumberForma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45" xfId="0" applyFont="1" applyBorder="1" applyAlignment="1">
      <alignment horizontal="center" vertical="top"/>
    </xf>
    <xf numFmtId="4" fontId="15" fillId="7" borderId="46" xfId="0" applyNumberFormat="1" applyFont="1" applyFill="1" applyBorder="1"/>
    <xf numFmtId="4" fontId="4" fillId="0" borderId="2" xfId="0" applyNumberFormat="1" applyFont="1" applyBorder="1" applyAlignment="1">
      <alignment horizontal="center" vertical="top"/>
    </xf>
    <xf numFmtId="4" fontId="15" fillId="0" borderId="2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top"/>
    </xf>
    <xf numFmtId="4" fontId="15" fillId="7" borderId="48" xfId="0" applyNumberFormat="1" applyFont="1" applyFill="1" applyBorder="1"/>
    <xf numFmtId="4" fontId="4" fillId="0" borderId="48" xfId="0" applyNumberFormat="1" applyFont="1" applyBorder="1" applyAlignment="1">
      <alignment horizontal="center" vertical="top"/>
    </xf>
    <xf numFmtId="4" fontId="4" fillId="0" borderId="49" xfId="0" applyNumberFormat="1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0" fillId="4" borderId="16" xfId="0" applyNumberFormat="1" applyFill="1" applyBorder="1" applyAlignment="1" applyProtection="1">
      <alignment horizontal="right"/>
      <protection hidden="1"/>
    </xf>
    <xf numFmtId="4" fontId="0" fillId="4" borderId="8" xfId="0" applyNumberFormat="1" applyFill="1" applyBorder="1" applyAlignment="1" applyProtection="1">
      <alignment horizontal="right"/>
      <protection hidden="1"/>
    </xf>
    <xf numFmtId="0" fontId="1" fillId="5" borderId="17" xfId="0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center"/>
    </xf>
    <xf numFmtId="0" fontId="0" fillId="0" borderId="18" xfId="0" applyBorder="1"/>
    <xf numFmtId="4" fontId="0" fillId="4" borderId="4" xfId="0" applyNumberFormat="1" applyFill="1" applyBorder="1" applyAlignment="1" applyProtection="1">
      <alignment horizontal="right"/>
      <protection hidden="1"/>
    </xf>
    <xf numFmtId="4" fontId="1" fillId="4" borderId="13" xfId="0" applyNumberFormat="1" applyFont="1" applyFill="1" applyBorder="1" applyAlignment="1" applyProtection="1">
      <alignment horizontal="right"/>
      <protection hidden="1"/>
    </xf>
    <xf numFmtId="4" fontId="1" fillId="4" borderId="14" xfId="0" applyNumberFormat="1" applyFont="1" applyFill="1" applyBorder="1" applyAlignment="1" applyProtection="1">
      <alignment horizontal="right"/>
      <protection hidden="1"/>
    </xf>
    <xf numFmtId="0" fontId="9" fillId="2" borderId="1" xfId="0" applyFont="1" applyFill="1" applyBorder="1" applyAlignment="1">
      <alignment horizontal="right" vertical="center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locked="0"/>
    </xf>
    <xf numFmtId="0" fontId="11" fillId="3" borderId="23" xfId="0" applyFont="1" applyFill="1" applyBorder="1"/>
    <xf numFmtId="0" fontId="0" fillId="0" borderId="36" xfId="0" applyBorder="1"/>
    <xf numFmtId="0" fontId="1" fillId="5" borderId="17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1" fillId="3" borderId="30" xfId="0" applyFont="1" applyFill="1" applyBorder="1"/>
    <xf numFmtId="0" fontId="0" fillId="0" borderId="27" xfId="0" applyBorder="1"/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4" fontId="0" fillId="4" borderId="2" xfId="0" applyNumberFormat="1" applyFill="1" applyBorder="1" applyAlignment="1" applyProtection="1">
      <alignment horizontal="right"/>
      <protection hidden="1"/>
    </xf>
    <xf numFmtId="0" fontId="9" fillId="2" borderId="16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" fontId="1" fillId="4" borderId="17" xfId="0" applyNumberFormat="1" applyFont="1" applyFill="1" applyBorder="1" applyAlignment="1" applyProtection="1">
      <alignment horizontal="right"/>
      <protection hidden="1"/>
    </xf>
    <xf numFmtId="0" fontId="9" fillId="2" borderId="31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5" fillId="8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1">
    <cellStyle name="Normální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28575</xdr:rowOff>
    </xdr:from>
    <xdr:to>
      <xdr:col>6</xdr:col>
      <xdr:colOff>359709</xdr:colOff>
      <xdr:row>3</xdr:row>
      <xdr:rowOff>175372</xdr:rowOff>
    </xdr:to>
    <xdr:pic>
      <xdr:nvPicPr>
        <xdr:cNvPr id="2" name="Picture 3" descr="logoCTep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228600"/>
          <a:ext cx="797859" cy="527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152400</xdr:rowOff>
    </xdr:from>
    <xdr:to>
      <xdr:col>19</xdr:col>
      <xdr:colOff>352426</xdr:colOff>
      <xdr:row>12</xdr:row>
      <xdr:rowOff>93518</xdr:rowOff>
    </xdr:to>
    <xdr:pic>
      <xdr:nvPicPr>
        <xdr:cNvPr id="2" name="Obrázek 1" descr="http://energetika.tzb-info.cz/docu/clanky/0082/008257o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5575" y="152400"/>
          <a:ext cx="3705225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tabSelected="1" zoomScaleNormal="100" workbookViewId="0">
      <selection activeCell="C4" sqref="C4:D4"/>
    </sheetView>
  </sheetViews>
  <sheetFormatPr defaultRowHeight="15" x14ac:dyDescent="0.25"/>
  <cols>
    <col min="1" max="1" width="3.140625" customWidth="1"/>
    <col min="2" max="2" width="24.28515625" customWidth="1"/>
    <col min="3" max="3" width="15.42578125" customWidth="1"/>
    <col min="4" max="4" width="13.85546875" customWidth="1"/>
    <col min="5" max="5" width="8.85546875" customWidth="1"/>
    <col min="6" max="6" width="7.5703125" customWidth="1"/>
    <col min="7" max="7" width="14.85546875" customWidth="1"/>
    <col min="8" max="8" width="8.7109375" customWidth="1"/>
    <col min="9" max="9" width="6" customWidth="1"/>
    <col min="10" max="10" width="7.7109375" customWidth="1"/>
    <col min="15" max="17" width="0" hidden="1" customWidth="1"/>
    <col min="18" max="19" width="9.140625" hidden="1" customWidth="1"/>
    <col min="20" max="20" width="15" hidden="1" customWidth="1"/>
    <col min="21" max="22" width="5" hidden="1" customWidth="1"/>
    <col min="23" max="23" width="8.7109375" hidden="1" customWidth="1"/>
    <col min="24" max="26" width="2" hidden="1" customWidth="1"/>
    <col min="27" max="27" width="18.85546875" hidden="1" customWidth="1"/>
    <col min="28" max="28" width="7" hidden="1" customWidth="1"/>
    <col min="29" max="29" width="14.140625" hidden="1" customWidth="1"/>
    <col min="30" max="30" width="31.140625" hidden="1" customWidth="1"/>
  </cols>
  <sheetData>
    <row r="1" spans="1:28" ht="15.75" thickBot="1" x14ac:dyDescent="0.3">
      <c r="T1" t="s">
        <v>22</v>
      </c>
      <c r="U1">
        <v>63</v>
      </c>
      <c r="V1">
        <v>630</v>
      </c>
      <c r="W1" s="30" t="s">
        <v>49</v>
      </c>
      <c r="X1" s="13">
        <f>IF($C$4&gt;U1,1,0)</f>
        <v>0</v>
      </c>
      <c r="Y1" s="13">
        <f>IF($C$4&lt;=V1,1,0)</f>
        <v>1</v>
      </c>
      <c r="Z1" s="13">
        <f t="shared" ref="Z1:Z10" si="0">IF(AND(X1,Y1),1,0)</f>
        <v>0</v>
      </c>
      <c r="AA1" t="s">
        <v>45</v>
      </c>
    </row>
    <row r="2" spans="1:28" x14ac:dyDescent="0.25">
      <c r="B2" s="20" t="s">
        <v>1</v>
      </c>
      <c r="C2" s="127" t="s">
        <v>88</v>
      </c>
      <c r="D2" s="128"/>
      <c r="T2" t="s">
        <v>102</v>
      </c>
      <c r="U2">
        <v>55</v>
      </c>
      <c r="V2">
        <v>63</v>
      </c>
      <c r="W2" s="31" t="s">
        <v>28</v>
      </c>
      <c r="X2" s="13">
        <f t="shared" ref="X2:X12" si="1">IF($C$4&gt;U2,1,0)</f>
        <v>0</v>
      </c>
      <c r="Y2" s="13">
        <f t="shared" ref="Y2:Y13" si="2">IF($C$4&lt;=V2,1,0)</f>
        <v>1</v>
      </c>
      <c r="Z2" s="13">
        <f t="shared" si="0"/>
        <v>0</v>
      </c>
      <c r="AA2" t="s">
        <v>46</v>
      </c>
    </row>
    <row r="3" spans="1:28" x14ac:dyDescent="0.25">
      <c r="B3" s="21" t="s">
        <v>4</v>
      </c>
      <c r="C3" s="133" t="s">
        <v>45</v>
      </c>
      <c r="D3" s="135"/>
      <c r="T3" s="2" t="s">
        <v>23</v>
      </c>
      <c r="U3">
        <v>50</v>
      </c>
      <c r="V3">
        <v>55</v>
      </c>
      <c r="W3" s="32" t="s">
        <v>29</v>
      </c>
      <c r="X3" s="13">
        <f t="shared" si="1"/>
        <v>0</v>
      </c>
      <c r="Y3" s="13">
        <f t="shared" si="2"/>
        <v>1</v>
      </c>
      <c r="Z3" s="13">
        <f t="shared" si="0"/>
        <v>0</v>
      </c>
      <c r="AA3">
        <f>IF($C$3="Domácnost",1,2)</f>
        <v>1</v>
      </c>
    </row>
    <row r="4" spans="1:28" x14ac:dyDescent="0.25">
      <c r="B4" s="21" t="s">
        <v>43</v>
      </c>
      <c r="C4" s="133">
        <v>30</v>
      </c>
      <c r="D4" s="134"/>
      <c r="J4" s="2"/>
      <c r="T4" s="2"/>
      <c r="U4">
        <v>45</v>
      </c>
      <c r="V4">
        <v>50</v>
      </c>
      <c r="W4" s="31" t="s">
        <v>30</v>
      </c>
      <c r="X4" s="13">
        <f t="shared" si="1"/>
        <v>0</v>
      </c>
      <c r="Y4" s="13">
        <f t="shared" si="2"/>
        <v>1</v>
      </c>
      <c r="Z4" s="13">
        <f t="shared" si="0"/>
        <v>0</v>
      </c>
    </row>
    <row r="5" spans="1:28" x14ac:dyDescent="0.25">
      <c r="B5" s="21" t="s">
        <v>44</v>
      </c>
      <c r="C5" s="129">
        <f>(C4*1000)/C6</f>
        <v>2843.6018957345968</v>
      </c>
      <c r="D5" s="130"/>
      <c r="E5" s="4"/>
      <c r="F5" t="s">
        <v>95</v>
      </c>
      <c r="G5" s="22"/>
      <c r="J5" s="2"/>
      <c r="T5" s="2"/>
      <c r="U5">
        <v>40</v>
      </c>
      <c r="V5">
        <v>45</v>
      </c>
      <c r="W5" s="31" t="s">
        <v>31</v>
      </c>
      <c r="X5" s="13">
        <f t="shared" si="1"/>
        <v>0</v>
      </c>
      <c r="Y5" s="13">
        <f t="shared" si="2"/>
        <v>1</v>
      </c>
      <c r="Z5" s="13">
        <f t="shared" si="0"/>
        <v>0</v>
      </c>
      <c r="AA5" t="s">
        <v>51</v>
      </c>
      <c r="AB5">
        <f ca="1">cenik!BB19</f>
        <v>204.4</v>
      </c>
    </row>
    <row r="6" spans="1:28" x14ac:dyDescent="0.25">
      <c r="B6" s="21" t="s">
        <v>47</v>
      </c>
      <c r="C6" s="131">
        <v>10.55</v>
      </c>
      <c r="D6" s="131"/>
      <c r="F6" s="108" t="s">
        <v>48</v>
      </c>
      <c r="G6" s="109"/>
      <c r="U6">
        <v>35</v>
      </c>
      <c r="V6">
        <v>40</v>
      </c>
      <c r="W6" s="31" t="s">
        <v>32</v>
      </c>
      <c r="X6" s="13">
        <f t="shared" si="1"/>
        <v>0</v>
      </c>
      <c r="Y6" s="13">
        <f t="shared" si="2"/>
        <v>1</v>
      </c>
      <c r="Z6" s="13">
        <f t="shared" si="0"/>
        <v>0</v>
      </c>
      <c r="AA6" t="s">
        <v>52</v>
      </c>
      <c r="AB6" t="str">
        <f ca="1">cenik!BB20</f>
        <v>x</v>
      </c>
    </row>
    <row r="7" spans="1:28" x14ac:dyDescent="0.25">
      <c r="B7" s="21" t="s">
        <v>5</v>
      </c>
      <c r="C7" s="132" t="s">
        <v>22</v>
      </c>
      <c r="D7" s="132"/>
      <c r="G7" t="s">
        <v>91</v>
      </c>
      <c r="U7">
        <v>30</v>
      </c>
      <c r="V7">
        <v>35</v>
      </c>
      <c r="W7" s="31" t="s">
        <v>33</v>
      </c>
      <c r="X7" s="13">
        <f t="shared" si="1"/>
        <v>0</v>
      </c>
      <c r="Y7" s="13">
        <f t="shared" si="2"/>
        <v>1</v>
      </c>
      <c r="Z7" s="13">
        <f t="shared" si="0"/>
        <v>0</v>
      </c>
      <c r="AA7" t="s">
        <v>55</v>
      </c>
      <c r="AB7">
        <f ca="1">cenik!BB21</f>
        <v>238.14</v>
      </c>
    </row>
    <row r="8" spans="1:28" ht="15.75" thickBot="1" x14ac:dyDescent="0.3">
      <c r="B8" s="60" t="s">
        <v>50</v>
      </c>
      <c r="C8" s="118" t="str">
        <f ca="1">$W$20</f>
        <v>25-30</v>
      </c>
      <c r="D8" s="119"/>
      <c r="G8" s="87">
        <v>44927</v>
      </c>
      <c r="U8">
        <v>25</v>
      </c>
      <c r="V8">
        <v>30</v>
      </c>
      <c r="W8" s="31" t="s">
        <v>34</v>
      </c>
      <c r="X8" s="13">
        <f t="shared" si="1"/>
        <v>1</v>
      </c>
      <c r="Y8" s="13">
        <f t="shared" si="2"/>
        <v>1</v>
      </c>
      <c r="Z8" s="13">
        <f t="shared" si="0"/>
        <v>1</v>
      </c>
      <c r="AA8" t="s">
        <v>56</v>
      </c>
      <c r="AB8">
        <f ca="1">IF(G17=0,cenik!BB22,G17)</f>
        <v>2500</v>
      </c>
    </row>
    <row r="9" spans="1:28" ht="15.75" thickBot="1" x14ac:dyDescent="0.3">
      <c r="B9" s="62"/>
      <c r="C9" s="120"/>
      <c r="D9" s="120"/>
      <c r="U9">
        <v>20</v>
      </c>
      <c r="V9">
        <v>25</v>
      </c>
      <c r="W9" s="31" t="s">
        <v>35</v>
      </c>
      <c r="X9" s="13">
        <f t="shared" si="1"/>
        <v>1</v>
      </c>
      <c r="Y9" s="13">
        <f t="shared" si="2"/>
        <v>0</v>
      </c>
      <c r="Z9" s="13">
        <f t="shared" si="0"/>
        <v>0</v>
      </c>
      <c r="AA9" t="s">
        <v>57</v>
      </c>
      <c r="AB9">
        <f ca="1">cenik!BB23</f>
        <v>130</v>
      </c>
    </row>
    <row r="10" spans="1:28" x14ac:dyDescent="0.25">
      <c r="B10" s="121" t="s">
        <v>77</v>
      </c>
      <c r="C10" s="122"/>
      <c r="D10" s="61">
        <v>4000</v>
      </c>
      <c r="U10">
        <v>15</v>
      </c>
      <c r="V10">
        <v>20</v>
      </c>
      <c r="W10" s="31" t="s">
        <v>36</v>
      </c>
      <c r="X10" s="13">
        <f t="shared" si="1"/>
        <v>1</v>
      </c>
      <c r="Y10" s="13">
        <f t="shared" si="2"/>
        <v>0</v>
      </c>
      <c r="Z10" s="13">
        <f t="shared" si="0"/>
        <v>0</v>
      </c>
      <c r="AA10" s="10"/>
    </row>
    <row r="11" spans="1:28" ht="15.75" thickBot="1" x14ac:dyDescent="0.3">
      <c r="A11" s="1"/>
      <c r="B11" s="125" t="s">
        <v>76</v>
      </c>
      <c r="C11" s="126"/>
      <c r="D11" s="54">
        <v>250</v>
      </c>
      <c r="U11">
        <v>7.56</v>
      </c>
      <c r="V11">
        <v>15</v>
      </c>
      <c r="W11" s="31" t="s">
        <v>37</v>
      </c>
      <c r="X11" s="13">
        <f t="shared" si="1"/>
        <v>1</v>
      </c>
      <c r="Y11" s="13">
        <f t="shared" si="2"/>
        <v>0</v>
      </c>
      <c r="Z11" s="13">
        <f>IF(AND(X11,Y11),1,0)</f>
        <v>0</v>
      </c>
      <c r="AA11" s="10"/>
    </row>
    <row r="12" spans="1:28" x14ac:dyDescent="0.25">
      <c r="A12" s="1" t="s">
        <v>0</v>
      </c>
      <c r="U12">
        <v>1.89</v>
      </c>
      <c r="V12">
        <v>7.56</v>
      </c>
      <c r="W12" s="31" t="s">
        <v>38</v>
      </c>
      <c r="X12" s="13">
        <f t="shared" si="1"/>
        <v>1</v>
      </c>
      <c r="Y12" s="13">
        <f t="shared" si="2"/>
        <v>0</v>
      </c>
      <c r="Z12" s="13">
        <f t="shared" ref="Z12:Z13" si="3">IF(AND(X12,Y12),1,0)</f>
        <v>0</v>
      </c>
      <c r="AA12" s="10"/>
    </row>
    <row r="13" spans="1:28" ht="15.75" thickBot="1" x14ac:dyDescent="0.3">
      <c r="A13" s="1"/>
      <c r="U13">
        <v>0</v>
      </c>
      <c r="V13">
        <v>1.89</v>
      </c>
      <c r="W13" s="33" t="s">
        <v>39</v>
      </c>
      <c r="X13" s="13">
        <f>IF($C$4&gt;-1,1,0)</f>
        <v>1</v>
      </c>
      <c r="Y13" s="13">
        <f t="shared" si="2"/>
        <v>0</v>
      </c>
      <c r="Z13" s="13">
        <f t="shared" si="3"/>
        <v>0</v>
      </c>
      <c r="AA13" s="10"/>
    </row>
    <row r="14" spans="1:28" x14ac:dyDescent="0.25">
      <c r="A14" s="1"/>
      <c r="W14" s="10"/>
      <c r="X14" s="10"/>
      <c r="Y14" s="10"/>
      <c r="Z14" s="10"/>
      <c r="AA14" s="10"/>
    </row>
    <row r="15" spans="1:28" ht="15.75" thickBot="1" x14ac:dyDescent="0.3">
      <c r="A15" s="1"/>
      <c r="C15" s="17"/>
      <c r="D15" s="24"/>
      <c r="E15" s="24"/>
      <c r="F15" s="25"/>
      <c r="W15" s="10"/>
      <c r="X15" s="10"/>
      <c r="Y15" s="10"/>
      <c r="Z15" s="10"/>
      <c r="AA15" s="10"/>
    </row>
    <row r="16" spans="1:28" ht="15.75" thickBot="1" x14ac:dyDescent="0.3">
      <c r="A16" s="1"/>
      <c r="B16" s="18" t="s">
        <v>58</v>
      </c>
      <c r="D16" s="19" t="s">
        <v>7</v>
      </c>
      <c r="E16" s="112" t="s">
        <v>6</v>
      </c>
      <c r="F16" s="113"/>
      <c r="G16" s="55" t="s">
        <v>74</v>
      </c>
      <c r="W16" s="10"/>
      <c r="X16" s="10"/>
      <c r="Y16" s="10"/>
      <c r="Z16" s="10"/>
      <c r="AA16" s="10"/>
    </row>
    <row r="17" spans="1:27" ht="15.75" thickBot="1" x14ac:dyDescent="0.3">
      <c r="A17" s="1"/>
      <c r="B17" s="110" t="s">
        <v>60</v>
      </c>
      <c r="C17" s="111"/>
      <c r="D17" s="23">
        <f ca="1">$AB$8</f>
        <v>2500</v>
      </c>
      <c r="E17" s="138">
        <f ca="1">$C$4*$AB$8</f>
        <v>75000</v>
      </c>
      <c r="F17" s="138"/>
      <c r="G17" s="56">
        <v>0</v>
      </c>
      <c r="H17" t="s">
        <v>75</v>
      </c>
      <c r="W17" s="10"/>
      <c r="X17" s="10"/>
      <c r="Y17" s="10"/>
      <c r="Z17" s="10"/>
      <c r="AA17" s="10"/>
    </row>
    <row r="18" spans="1:27" x14ac:dyDescent="0.25">
      <c r="A18" s="1"/>
      <c r="B18" s="110" t="s">
        <v>8</v>
      </c>
      <c r="C18" s="117"/>
      <c r="D18" s="23">
        <f ca="1">$AB$9</f>
        <v>130</v>
      </c>
      <c r="E18" s="114">
        <f ca="1">$AB$9*12</f>
        <v>1560</v>
      </c>
      <c r="F18" s="114"/>
      <c r="W18" s="10"/>
      <c r="X18" s="10"/>
      <c r="Y18" s="10"/>
      <c r="Z18" s="10"/>
      <c r="AA18" s="10"/>
    </row>
    <row r="19" spans="1:27" ht="15.75" thickBot="1" x14ac:dyDescent="0.3">
      <c r="A19" s="1"/>
    </row>
    <row r="20" spans="1:27" ht="15.75" thickBot="1" x14ac:dyDescent="0.3">
      <c r="A20" s="1"/>
      <c r="B20" s="18" t="s">
        <v>59</v>
      </c>
      <c r="C20" s="17"/>
      <c r="D20" s="24"/>
      <c r="E20" s="24"/>
      <c r="F20" s="25"/>
      <c r="T20">
        <f>IFERROR(MATCH($C$7,T$1:T$3,0),0)</f>
        <v>1</v>
      </c>
      <c r="W20" t="str">
        <f ca="1">IF(C4&gt;630,W1,INDIRECT(ADDRESS($Z$20,23)))</f>
        <v>25-30</v>
      </c>
      <c r="Z20">
        <f>IFERROR(MATCH(1,Z$1:Z$13,0),1)</f>
        <v>8</v>
      </c>
    </row>
    <row r="21" spans="1:27" x14ac:dyDescent="0.25">
      <c r="A21" s="1"/>
      <c r="B21" s="110" t="s">
        <v>61</v>
      </c>
      <c r="C21" s="111"/>
      <c r="D21" s="26">
        <f ca="1">$AB$5</f>
        <v>204.4</v>
      </c>
      <c r="E21" s="114">
        <f ca="1">$D$21*$C$4</f>
        <v>6132</v>
      </c>
      <c r="F21" s="114"/>
    </row>
    <row r="22" spans="1:27" x14ac:dyDescent="0.25">
      <c r="B22" s="139" t="s">
        <v>63</v>
      </c>
      <c r="C22" s="111"/>
      <c r="D22" s="26">
        <f ca="1">IF($Z$20=1,0,$AB$7)</f>
        <v>238.14</v>
      </c>
      <c r="E22" s="114">
        <f ca="1">D22*12</f>
        <v>2857.68</v>
      </c>
      <c r="F22" s="114"/>
    </row>
    <row r="23" spans="1:27" x14ac:dyDescent="0.25">
      <c r="B23" s="139" t="s">
        <v>64</v>
      </c>
      <c r="C23" s="111"/>
      <c r="D23" s="26">
        <f>IF($Z$20=1,AB6,0)</f>
        <v>0</v>
      </c>
      <c r="E23" s="114">
        <f>(($C$5/110)/1000)*$D$23</f>
        <v>0</v>
      </c>
      <c r="F23" s="114"/>
      <c r="W23" t="str">
        <f ca="1">IF(C4&gt;630,W1,INDIRECT(ADDRESS($Z$20,23)))</f>
        <v>25-30</v>
      </c>
    </row>
    <row r="24" spans="1:27" x14ac:dyDescent="0.25">
      <c r="B24" s="139" t="s">
        <v>9</v>
      </c>
      <c r="C24" s="140"/>
      <c r="D24" s="26">
        <v>1.83</v>
      </c>
      <c r="E24" s="114">
        <f>$D$24*$C$4</f>
        <v>54.900000000000006</v>
      </c>
      <c r="F24" s="114"/>
      <c r="G24" t="s">
        <v>84</v>
      </c>
    </row>
    <row r="25" spans="1:27" x14ac:dyDescent="0.25">
      <c r="B25" s="139" t="s">
        <v>62</v>
      </c>
      <c r="C25" s="140"/>
      <c r="D25" s="26">
        <f>30.6</f>
        <v>30.6</v>
      </c>
      <c r="E25" s="114">
        <f>IF($AA$3=2,($D$25*$C$4),0)</f>
        <v>0</v>
      </c>
      <c r="F25" s="114"/>
      <c r="I25" s="5"/>
      <c r="T25" s="3"/>
    </row>
    <row r="26" spans="1:27" x14ac:dyDescent="0.25">
      <c r="I26" s="6"/>
      <c r="T26" s="3"/>
    </row>
    <row r="27" spans="1:27" ht="15.75" thickBot="1" x14ac:dyDescent="0.3">
      <c r="I27" s="6"/>
    </row>
    <row r="28" spans="1:27" ht="15.75" thickBot="1" x14ac:dyDescent="0.3">
      <c r="B28" s="123" t="s">
        <v>12</v>
      </c>
      <c r="C28" s="124"/>
      <c r="D28" s="25"/>
      <c r="E28" s="141">
        <f ca="1">(E17++E18+E21+E22+E23+E24+E25)</f>
        <v>85604.579999999987</v>
      </c>
      <c r="F28" s="124"/>
      <c r="I28" s="6"/>
    </row>
    <row r="29" spans="1:27" ht="15.75" thickBot="1" x14ac:dyDescent="0.3">
      <c r="D29" s="25"/>
      <c r="E29" s="25"/>
      <c r="F29" s="25"/>
      <c r="I29" s="6"/>
      <c r="T29" s="3"/>
    </row>
    <row r="30" spans="1:27" ht="15.75" thickBot="1" x14ac:dyDescent="0.3">
      <c r="B30" s="123" t="s">
        <v>11</v>
      </c>
      <c r="C30" s="124"/>
      <c r="D30" s="25"/>
      <c r="E30" s="115">
        <f ca="1">E28*1.21</f>
        <v>103581.54179999998</v>
      </c>
      <c r="F30" s="116"/>
    </row>
    <row r="31" spans="1:27" ht="15.75" thickBot="1" x14ac:dyDescent="0.3">
      <c r="D31" s="25"/>
      <c r="E31" s="25"/>
      <c r="F31" s="25"/>
    </row>
    <row r="32" spans="1:27" ht="15.75" thickBot="1" x14ac:dyDescent="0.3">
      <c r="B32" s="123" t="s">
        <v>10</v>
      </c>
      <c r="C32" s="124"/>
      <c r="E32" s="115">
        <f ca="1">ROUND(E30/12,-2)</f>
        <v>8600</v>
      </c>
      <c r="F32" s="116"/>
      <c r="G32" t="s">
        <v>83</v>
      </c>
      <c r="T32" s="3"/>
    </row>
    <row r="33" spans="2:20" ht="15.75" thickBot="1" x14ac:dyDescent="0.3">
      <c r="D33" s="25"/>
      <c r="E33" s="25"/>
      <c r="F33" s="25"/>
    </row>
    <row r="34" spans="2:20" ht="16.5" thickBot="1" x14ac:dyDescent="0.3">
      <c r="B34" s="57" t="s">
        <v>78</v>
      </c>
      <c r="C34" s="58"/>
      <c r="D34" s="25"/>
      <c r="E34" s="25"/>
      <c r="F34" s="25"/>
    </row>
    <row r="35" spans="2:20" x14ac:dyDescent="0.25">
      <c r="B35" s="142" t="s">
        <v>80</v>
      </c>
      <c r="C35" s="143"/>
      <c r="D35" s="25"/>
      <c r="E35" s="104">
        <f ca="1">(D10*C4)-E17</f>
        <v>45000</v>
      </c>
      <c r="F35" s="105"/>
      <c r="T35" s="3"/>
    </row>
    <row r="36" spans="2:20" x14ac:dyDescent="0.25">
      <c r="B36" s="136" t="s">
        <v>81</v>
      </c>
      <c r="C36" s="137"/>
      <c r="D36" s="25"/>
      <c r="E36" s="104">
        <f ca="1">(D11*12)-E18</f>
        <v>1440</v>
      </c>
      <c r="F36" s="105"/>
    </row>
    <row r="37" spans="2:20" x14ac:dyDescent="0.25">
      <c r="D37" s="25"/>
    </row>
    <row r="38" spans="2:20" ht="15.75" thickBot="1" x14ac:dyDescent="0.3">
      <c r="B38" s="25"/>
      <c r="C38" s="25"/>
      <c r="D38" s="25"/>
      <c r="E38" s="25"/>
      <c r="F38" s="25"/>
    </row>
    <row r="39" spans="2:20" ht="15.75" thickBot="1" x14ac:dyDescent="0.3">
      <c r="B39" s="106" t="s">
        <v>79</v>
      </c>
      <c r="C39" s="107"/>
      <c r="D39" s="25"/>
      <c r="E39" s="104">
        <f ca="1">(E35+E36)*1.21</f>
        <v>56192.4</v>
      </c>
      <c r="F39" s="105"/>
    </row>
    <row r="42" spans="2:20" x14ac:dyDescent="0.25">
      <c r="B42" s="40" t="s">
        <v>87</v>
      </c>
    </row>
    <row r="43" spans="2:20" x14ac:dyDescent="0.25">
      <c r="B43" s="40" t="s">
        <v>86</v>
      </c>
    </row>
    <row r="44" spans="2:20" x14ac:dyDescent="0.25">
      <c r="B44" s="40" t="s">
        <v>85</v>
      </c>
    </row>
    <row r="45" spans="2:20" x14ac:dyDescent="0.25">
      <c r="B45" s="40" t="s">
        <v>89</v>
      </c>
    </row>
    <row r="46" spans="2:20" x14ac:dyDescent="0.25">
      <c r="B46" s="28" t="s">
        <v>73</v>
      </c>
    </row>
    <row r="98" spans="30:30" x14ac:dyDescent="0.25">
      <c r="AD98" s="7" t="s">
        <v>2</v>
      </c>
    </row>
  </sheetData>
  <mergeCells count="38">
    <mergeCell ref="B36:C36"/>
    <mergeCell ref="E36:F36"/>
    <mergeCell ref="E17:F17"/>
    <mergeCell ref="E18:F18"/>
    <mergeCell ref="E23:F23"/>
    <mergeCell ref="B23:C23"/>
    <mergeCell ref="B24:C24"/>
    <mergeCell ref="B25:C25"/>
    <mergeCell ref="B22:C22"/>
    <mergeCell ref="E22:F22"/>
    <mergeCell ref="B32:C32"/>
    <mergeCell ref="E24:F24"/>
    <mergeCell ref="E30:F30"/>
    <mergeCell ref="B28:C28"/>
    <mergeCell ref="E28:F28"/>
    <mergeCell ref="B35:C35"/>
    <mergeCell ref="C2:D2"/>
    <mergeCell ref="C5:D5"/>
    <mergeCell ref="C6:D6"/>
    <mergeCell ref="C7:D7"/>
    <mergeCell ref="C4:D4"/>
    <mergeCell ref="C3:D3"/>
    <mergeCell ref="E35:F35"/>
    <mergeCell ref="B39:C39"/>
    <mergeCell ref="E39:F39"/>
    <mergeCell ref="F6:G6"/>
    <mergeCell ref="B17:C17"/>
    <mergeCell ref="E16:F16"/>
    <mergeCell ref="E21:F21"/>
    <mergeCell ref="E32:F32"/>
    <mergeCell ref="B18:C18"/>
    <mergeCell ref="B21:C21"/>
    <mergeCell ref="C8:D8"/>
    <mergeCell ref="C9:D9"/>
    <mergeCell ref="E25:F25"/>
    <mergeCell ref="B10:C10"/>
    <mergeCell ref="B30:C30"/>
    <mergeCell ref="B11:C11"/>
  </mergeCells>
  <conditionalFormatting sqref="J12:L23 U5:U13 O21:Q23 W19:AB19 T12:U20 V6:V20">
    <cfRule type="expression" dxfId="10" priority="88">
      <formula>"L18=1"</formula>
    </cfRule>
  </conditionalFormatting>
  <conditionalFormatting sqref="E38:F38">
    <cfRule type="cellIs" dxfId="9" priority="18" operator="lessThan">
      <formula>0</formula>
    </cfRule>
    <cfRule type="cellIs" dxfId="8" priority="19" operator="greaterThan">
      <formula>0</formula>
    </cfRule>
  </conditionalFormatting>
  <conditionalFormatting sqref="E35:F35">
    <cfRule type="cellIs" dxfId="7" priority="9" operator="lessThan">
      <formula>0</formula>
    </cfRule>
  </conditionalFormatting>
  <conditionalFormatting sqref="E39:F39"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E35:F35">
    <cfRule type="cellIs" dxfId="4" priority="4" operator="greaterThan">
      <formula>0</formula>
    </cfRule>
    <cfRule type="cellIs" dxfId="3" priority="5" operator="lessThan">
      <formula>0</formula>
    </cfRule>
  </conditionalFormatting>
  <conditionalFormatting sqref="E36:F36">
    <cfRule type="cellIs" dxfId="2" priority="3" operator="lessThan">
      <formula>0</formula>
    </cfRule>
  </conditionalFormatting>
  <conditionalFormatting sqref="E36:F36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3">
    <dataValidation type="list" allowBlank="1" showInputMessage="1" showErrorMessage="1" sqref="C7:D7" xr:uid="{00000000-0002-0000-0000-000000000000}">
      <formula1>$T$1:$T$3</formula1>
    </dataValidation>
    <dataValidation allowBlank="1" showErrorMessage="1" promptTitle="Upozornění" prompt="Zadávejte hodnotu pouze u tarifú C 25d, D 25d a vyšších. Jinak vyplň 0." sqref="C5:D5" xr:uid="{00000000-0002-0000-0000-000001000000}"/>
    <dataValidation type="list" allowBlank="1" showInputMessage="1" showErrorMessage="1" sqref="C3:D3" xr:uid="{00000000-0002-0000-0000-000002000000}">
      <formula1>$AA$1:$AA$2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C127"/>
  <sheetViews>
    <sheetView zoomScale="110" zoomScaleNormal="110" workbookViewId="0">
      <selection activeCell="J7" sqref="J7"/>
    </sheetView>
  </sheetViews>
  <sheetFormatPr defaultRowHeight="15" x14ac:dyDescent="0.25"/>
  <cols>
    <col min="1" max="1" width="12.28515625" customWidth="1"/>
    <col min="4" max="4" width="17.42578125" customWidth="1"/>
    <col min="5" max="5" width="12.28515625" customWidth="1"/>
    <col min="8" max="8" width="11.140625" customWidth="1"/>
    <col min="9" max="9" width="10.42578125" customWidth="1"/>
    <col min="10" max="10" width="10.7109375" customWidth="1"/>
    <col min="15" max="15" width="12.85546875" customWidth="1"/>
    <col min="17" max="17" width="12.140625" customWidth="1"/>
    <col min="20" max="20" width="12.42578125" customWidth="1"/>
    <col min="25" max="25" width="18.85546875" bestFit="1" customWidth="1"/>
    <col min="26" max="26" width="0" hidden="1" customWidth="1"/>
    <col min="27" max="27" width="10" bestFit="1" customWidth="1"/>
    <col min="28" max="28" width="6.85546875" bestFit="1" customWidth="1"/>
    <col min="30" max="30" width="10.7109375" customWidth="1"/>
    <col min="51" max="51" width="9.140625" customWidth="1"/>
    <col min="52" max="52" width="18.85546875" bestFit="1" customWidth="1"/>
    <col min="53" max="53" width="9.140625" customWidth="1"/>
    <col min="54" max="54" width="15" bestFit="1" customWidth="1"/>
    <col min="55" max="55" width="6.85546875" bestFit="1" customWidth="1"/>
    <col min="56" max="56" width="9.140625" customWidth="1"/>
  </cols>
  <sheetData>
    <row r="2" spans="1:55" x14ac:dyDescent="0.25">
      <c r="A2" s="27" t="s">
        <v>3</v>
      </c>
      <c r="B2" s="28"/>
      <c r="C2" s="28"/>
      <c r="D2" s="28"/>
      <c r="E2" s="28"/>
      <c r="F2" s="28"/>
    </row>
    <row r="3" spans="1:55" x14ac:dyDescent="0.25">
      <c r="A3" s="28" t="s">
        <v>13</v>
      </c>
      <c r="B3" s="28"/>
      <c r="C3" s="28"/>
      <c r="D3" s="28"/>
      <c r="E3" s="28"/>
      <c r="F3" s="28"/>
    </row>
    <row r="4" spans="1:55" x14ac:dyDescent="0.25">
      <c r="A4" s="28" t="s">
        <v>14</v>
      </c>
      <c r="B4" s="28"/>
      <c r="C4" s="28"/>
      <c r="D4" s="28"/>
      <c r="E4" s="28"/>
      <c r="F4" s="28"/>
    </row>
    <row r="5" spans="1:55" ht="20.25" x14ac:dyDescent="0.3">
      <c r="A5" s="28" t="s">
        <v>15</v>
      </c>
      <c r="B5" s="28"/>
      <c r="C5" s="28"/>
      <c r="D5" s="28"/>
      <c r="E5" s="28"/>
      <c r="F5" s="28"/>
      <c r="J5" s="88" t="s">
        <v>93</v>
      </c>
      <c r="K5" s="89"/>
      <c r="L5" s="89"/>
      <c r="M5" s="89"/>
    </row>
    <row r="6" spans="1:55" ht="23.25" x14ac:dyDescent="0.35">
      <c r="A6" s="28" t="s">
        <v>16</v>
      </c>
      <c r="B6" s="28"/>
      <c r="C6" s="28"/>
      <c r="D6" s="28"/>
      <c r="E6" s="28"/>
      <c r="F6" s="28"/>
      <c r="J6" s="90" t="s">
        <v>103</v>
      </c>
      <c r="K6" s="91"/>
      <c r="L6" s="91"/>
      <c r="M6" s="90"/>
    </row>
    <row r="7" spans="1:55" x14ac:dyDescent="0.25">
      <c r="A7" s="28" t="s">
        <v>17</v>
      </c>
      <c r="B7" s="28"/>
      <c r="C7" s="28"/>
      <c r="D7" s="28"/>
      <c r="E7" s="28"/>
      <c r="F7" s="28"/>
    </row>
    <row r="8" spans="1:55" x14ac:dyDescent="0.25">
      <c r="A8" s="28" t="s">
        <v>18</v>
      </c>
      <c r="B8" s="28"/>
      <c r="C8" s="28"/>
      <c r="D8" s="28"/>
      <c r="E8" s="28"/>
      <c r="F8" s="28"/>
    </row>
    <row r="14" spans="1:55" ht="15.75" thickBot="1" x14ac:dyDescent="0.3"/>
    <row r="15" spans="1:55" ht="123" customHeight="1" x14ac:dyDescent="0.25">
      <c r="A15" s="43" t="s">
        <v>19</v>
      </c>
      <c r="B15" s="44" t="s">
        <v>20</v>
      </c>
      <c r="C15" s="45"/>
      <c r="D15" s="46"/>
      <c r="E15" s="46" t="s">
        <v>21</v>
      </c>
      <c r="F15" s="46"/>
      <c r="G15" s="35" t="s">
        <v>20</v>
      </c>
      <c r="H15" s="47"/>
      <c r="I15" s="37"/>
      <c r="J15" s="37" t="s">
        <v>21</v>
      </c>
      <c r="K15" s="37"/>
      <c r="L15" s="35" t="s">
        <v>20</v>
      </c>
      <c r="M15" s="47"/>
      <c r="N15" s="37"/>
      <c r="O15" s="37" t="s">
        <v>21</v>
      </c>
      <c r="P15" s="37"/>
      <c r="Q15" s="70"/>
      <c r="R15" s="70"/>
      <c r="S15" s="71"/>
      <c r="T15" s="71"/>
      <c r="U15" s="71"/>
      <c r="V15" s="70"/>
      <c r="W15" s="70"/>
      <c r="X15" s="71"/>
      <c r="Y15" s="71"/>
      <c r="Z15" s="71"/>
      <c r="AA15" s="70"/>
      <c r="AB15" s="70"/>
      <c r="AC15" s="71"/>
      <c r="AD15" s="71"/>
      <c r="AE15" s="71"/>
      <c r="BB15" t="s">
        <v>53</v>
      </c>
      <c r="BC15" t="s">
        <v>54</v>
      </c>
    </row>
    <row r="16" spans="1:55" ht="15.75" customHeight="1" x14ac:dyDescent="0.25">
      <c r="A16" s="48"/>
      <c r="B16" s="49"/>
      <c r="C16" s="50"/>
      <c r="D16" s="146" t="s">
        <v>22</v>
      </c>
      <c r="E16" s="146"/>
      <c r="F16" s="147"/>
      <c r="G16" s="36"/>
      <c r="H16" s="51"/>
      <c r="I16" s="148" t="s">
        <v>90</v>
      </c>
      <c r="J16" s="148"/>
      <c r="K16" s="149"/>
      <c r="L16" s="36"/>
      <c r="M16" s="51"/>
      <c r="N16" s="150" t="s">
        <v>82</v>
      </c>
      <c r="O16" s="150"/>
      <c r="P16" s="150"/>
      <c r="Q16" s="70"/>
      <c r="R16" s="70"/>
      <c r="S16" s="145"/>
      <c r="T16" s="145"/>
      <c r="U16" s="145"/>
      <c r="V16" s="70"/>
      <c r="W16" s="70"/>
      <c r="X16" s="145"/>
      <c r="Y16" s="145"/>
      <c r="Z16" s="145"/>
      <c r="AA16" s="70"/>
      <c r="AB16" s="70"/>
      <c r="AC16" s="145"/>
      <c r="AD16" s="145"/>
      <c r="AE16" s="145"/>
      <c r="BB16">
        <f>navrh!$T$20</f>
        <v>1</v>
      </c>
      <c r="BC16">
        <f>navrh!$Z$20</f>
        <v>8</v>
      </c>
    </row>
    <row r="17" spans="1:54" ht="141.75" customHeight="1" x14ac:dyDescent="0.25">
      <c r="A17" s="48"/>
      <c r="B17" s="52" t="s">
        <v>24</v>
      </c>
      <c r="C17" s="59" t="s">
        <v>25</v>
      </c>
      <c r="D17" s="100" t="s">
        <v>96</v>
      </c>
      <c r="E17" s="100" t="s">
        <v>97</v>
      </c>
      <c r="F17" s="100" t="s">
        <v>98</v>
      </c>
      <c r="G17" s="29" t="s">
        <v>24</v>
      </c>
      <c r="H17" s="53" t="s">
        <v>25</v>
      </c>
      <c r="I17" s="103" t="str">
        <f t="shared" ref="I17:K18" si="0">C17</f>
        <v xml:space="preserve">Stálý měsíční plat v Kč/měsíc  </v>
      </c>
      <c r="J17" s="103" t="str">
        <f t="shared" si="0"/>
        <v>Pevná cena za distribuovaný zemní plyn</v>
      </c>
      <c r="K17" s="103" t="str">
        <f t="shared" si="0"/>
        <v>Pevná roční cena za denní rezervovanou pevnou distribuční kapacitu</v>
      </c>
      <c r="L17" s="29" t="s">
        <v>24</v>
      </c>
      <c r="M17" s="53" t="s">
        <v>25</v>
      </c>
      <c r="N17" s="103" t="str">
        <f t="shared" ref="N17:P18" si="1">H17</f>
        <v xml:space="preserve">Stálý měsíční plat v Kč/měsíc  </v>
      </c>
      <c r="O17" s="103" t="str">
        <f t="shared" si="1"/>
        <v xml:space="preserve">Stálý měsíční plat v Kč/měsíc  </v>
      </c>
      <c r="P17" s="103" t="str">
        <f t="shared" si="1"/>
        <v>Pevná cena za distribuovaný zemní plyn</v>
      </c>
      <c r="Q17" s="72"/>
      <c r="R17" s="72"/>
      <c r="S17" s="144"/>
      <c r="T17" s="144"/>
      <c r="U17" s="144"/>
      <c r="V17" s="72"/>
      <c r="W17" s="72"/>
      <c r="X17" s="144"/>
      <c r="Y17" s="144"/>
      <c r="Z17" s="144"/>
      <c r="AA17" s="72"/>
      <c r="AB17" s="72"/>
      <c r="AC17" s="144"/>
      <c r="AD17" s="144"/>
      <c r="AE17" s="144"/>
      <c r="BB17" t="str">
        <f ca="1">INDIRECT(ADDRESS(16,(($BB$16-1)*5)+4))</f>
        <v>PPD</v>
      </c>
    </row>
    <row r="18" spans="1:54" ht="15.75" thickBot="1" x14ac:dyDescent="0.3">
      <c r="A18" s="48"/>
      <c r="B18" s="102" t="s">
        <v>100</v>
      </c>
      <c r="C18" s="102" t="s">
        <v>101</v>
      </c>
      <c r="D18" s="101" t="str">
        <f>B18</f>
        <v>Kč/MWh</v>
      </c>
      <c r="E18" s="101" t="s">
        <v>99</v>
      </c>
      <c r="F18" s="101" t="str">
        <f>C18</f>
        <v>Kč/měs.</v>
      </c>
      <c r="G18" s="102" t="s">
        <v>100</v>
      </c>
      <c r="H18" s="102" t="s">
        <v>101</v>
      </c>
      <c r="I18" s="102" t="str">
        <f t="shared" si="0"/>
        <v>Kč/měs.</v>
      </c>
      <c r="J18" s="102" t="str">
        <f t="shared" si="0"/>
        <v>Kč/MWh</v>
      </c>
      <c r="K18" s="102" t="str">
        <f t="shared" si="0"/>
        <v>Kč/tis.m3</v>
      </c>
      <c r="L18" s="102" t="s">
        <v>100</v>
      </c>
      <c r="M18" s="102" t="s">
        <v>101</v>
      </c>
      <c r="N18" s="102" t="str">
        <f t="shared" si="1"/>
        <v>Kč/měs.</v>
      </c>
      <c r="O18" s="102" t="str">
        <f t="shared" si="1"/>
        <v>Kč/měs.</v>
      </c>
      <c r="P18" s="102" t="str">
        <f t="shared" si="1"/>
        <v>Kč/MWh</v>
      </c>
      <c r="Q18" s="72"/>
      <c r="R18" s="72"/>
      <c r="S18" s="144"/>
      <c r="T18" s="144"/>
      <c r="U18" s="144"/>
      <c r="V18" s="72"/>
      <c r="W18" s="72"/>
      <c r="X18" s="144"/>
      <c r="Y18" s="144"/>
      <c r="Z18" s="144"/>
      <c r="AA18" s="72"/>
      <c r="AB18" s="72"/>
      <c r="AC18" s="144"/>
      <c r="AD18" s="144"/>
      <c r="AE18" s="144"/>
    </row>
    <row r="19" spans="1:54" ht="15" customHeight="1" thickTop="1" thickBot="1" x14ac:dyDescent="0.3">
      <c r="A19" s="92" t="s">
        <v>26</v>
      </c>
      <c r="B19" s="93">
        <v>2500</v>
      </c>
      <c r="C19" s="93">
        <v>130</v>
      </c>
      <c r="D19" s="94">
        <v>136.47</v>
      </c>
      <c r="E19" s="94">
        <v>131616.85</v>
      </c>
      <c r="F19" s="95" t="s">
        <v>94</v>
      </c>
      <c r="G19" s="79">
        <v>2500</v>
      </c>
      <c r="H19" s="93">
        <f t="shared" ref="G19:H31" si="2">C19</f>
        <v>130</v>
      </c>
      <c r="I19" s="94">
        <v>195.85</v>
      </c>
      <c r="J19" s="94">
        <v>143259.06</v>
      </c>
      <c r="K19" s="95" t="s">
        <v>94</v>
      </c>
      <c r="L19" s="79">
        <v>2500</v>
      </c>
      <c r="M19" s="93">
        <f t="shared" ref="L19:M31" si="3">C19</f>
        <v>130</v>
      </c>
      <c r="N19" s="94">
        <v>104.99</v>
      </c>
      <c r="O19" s="94">
        <v>119637.5</v>
      </c>
      <c r="P19" s="95" t="s">
        <v>94</v>
      </c>
      <c r="Q19" s="73"/>
      <c r="R19" s="73"/>
      <c r="S19" s="74"/>
      <c r="T19" s="74"/>
      <c r="U19" s="75"/>
      <c r="V19" s="73"/>
      <c r="W19" s="73"/>
      <c r="X19" s="74"/>
      <c r="Y19" s="74"/>
      <c r="Z19" s="75"/>
      <c r="AA19" s="73"/>
      <c r="AB19" s="73"/>
      <c r="AC19" s="74"/>
      <c r="AD19" s="74"/>
      <c r="AE19" s="76"/>
      <c r="AZ19" t="s">
        <v>51</v>
      </c>
      <c r="BB19">
        <f ca="1">INDIRECT(ADDRESS(18+$BC$16,((($BB$16-1)*5)+4)))</f>
        <v>204.4</v>
      </c>
    </row>
    <row r="20" spans="1:54" ht="15.75" thickTop="1" x14ac:dyDescent="0.25">
      <c r="A20" s="78" t="s">
        <v>28</v>
      </c>
      <c r="B20" s="79">
        <v>2500</v>
      </c>
      <c r="C20" s="79">
        <v>130</v>
      </c>
      <c r="D20" s="94">
        <v>193.15</v>
      </c>
      <c r="E20" s="94" t="s">
        <v>94</v>
      </c>
      <c r="F20" s="94">
        <v>273.73</v>
      </c>
      <c r="G20" s="79">
        <f t="shared" si="2"/>
        <v>2500</v>
      </c>
      <c r="H20" s="79">
        <f t="shared" si="2"/>
        <v>130</v>
      </c>
      <c r="I20" s="94">
        <v>254.23</v>
      </c>
      <c r="J20" s="94" t="s">
        <v>94</v>
      </c>
      <c r="K20" s="94">
        <v>314.58</v>
      </c>
      <c r="L20" s="79">
        <f t="shared" si="3"/>
        <v>2500</v>
      </c>
      <c r="M20" s="79">
        <f t="shared" si="3"/>
        <v>130</v>
      </c>
      <c r="N20" s="94">
        <v>142.88999999999999</v>
      </c>
      <c r="O20" s="94" t="s">
        <v>94</v>
      </c>
      <c r="P20" s="94">
        <v>321.22000000000003</v>
      </c>
      <c r="Q20" s="73"/>
      <c r="R20" s="73"/>
      <c r="S20" s="77"/>
      <c r="T20" s="77"/>
      <c r="U20" s="77"/>
      <c r="V20" s="73"/>
      <c r="W20" s="73"/>
      <c r="X20" s="77"/>
      <c r="Y20" s="77"/>
      <c r="Z20" s="77"/>
      <c r="AA20" s="73"/>
      <c r="AB20" s="73"/>
      <c r="AC20" s="77"/>
      <c r="AD20" s="77"/>
      <c r="AE20" s="77"/>
      <c r="AZ20" t="s">
        <v>52</v>
      </c>
      <c r="BB20" t="str">
        <f ca="1">INDIRECT(ADDRESS(18+$BC$16,((($BB$16-1)*5)+5)))</f>
        <v>x</v>
      </c>
    </row>
    <row r="21" spans="1:54" x14ac:dyDescent="0.25">
      <c r="A21" s="81" t="s">
        <v>29</v>
      </c>
      <c r="B21" s="41">
        <f>B20</f>
        <v>2500</v>
      </c>
      <c r="C21" s="41">
        <f>C20</f>
        <v>130</v>
      </c>
      <c r="D21" s="42">
        <f>D20</f>
        <v>193.15</v>
      </c>
      <c r="E21" s="42" t="s">
        <v>27</v>
      </c>
      <c r="F21" s="42">
        <f>F20</f>
        <v>273.73</v>
      </c>
      <c r="G21" s="41">
        <f>G20</f>
        <v>2500</v>
      </c>
      <c r="H21" s="41">
        <f t="shared" si="2"/>
        <v>130</v>
      </c>
      <c r="I21" s="42">
        <f>I20</f>
        <v>254.23</v>
      </c>
      <c r="J21" s="42" t="s">
        <v>27</v>
      </c>
      <c r="K21" s="42">
        <f>K20</f>
        <v>314.58</v>
      </c>
      <c r="L21" s="41">
        <f t="shared" ref="L21:L22" si="4">G21</f>
        <v>2500</v>
      </c>
      <c r="M21" s="41">
        <f t="shared" si="3"/>
        <v>130</v>
      </c>
      <c r="N21" s="42">
        <f>N20</f>
        <v>142.88999999999999</v>
      </c>
      <c r="O21" s="42" t="s">
        <v>27</v>
      </c>
      <c r="P21" s="84">
        <f>P20</f>
        <v>321.22000000000003</v>
      </c>
      <c r="Q21" s="73"/>
      <c r="R21" s="73"/>
      <c r="S21" s="77"/>
      <c r="T21" s="77"/>
      <c r="U21" s="77"/>
      <c r="V21" s="73"/>
      <c r="W21" s="73"/>
      <c r="X21" s="77"/>
      <c r="Y21" s="77"/>
      <c r="Z21" s="77"/>
      <c r="AA21" s="73"/>
      <c r="AB21" s="73"/>
      <c r="AC21" s="77"/>
      <c r="AD21" s="77"/>
      <c r="AE21" s="77"/>
      <c r="AZ21" t="s">
        <v>55</v>
      </c>
      <c r="BB21">
        <f ca="1">INDIRECT(ADDRESS(18+$BC$16,((($BB$16-1)*5)+6)))</f>
        <v>238.14</v>
      </c>
    </row>
    <row r="22" spans="1:54" ht="15.75" thickBot="1" x14ac:dyDescent="0.3">
      <c r="A22" s="82" t="s">
        <v>30</v>
      </c>
      <c r="B22" s="68">
        <f>B20</f>
        <v>2500</v>
      </c>
      <c r="C22" s="68">
        <f>C20</f>
        <v>130</v>
      </c>
      <c r="D22" s="69">
        <f>D21</f>
        <v>193.15</v>
      </c>
      <c r="E22" s="69" t="s">
        <v>27</v>
      </c>
      <c r="F22" s="69">
        <f>F21</f>
        <v>273.73</v>
      </c>
      <c r="G22" s="68">
        <f>G20</f>
        <v>2500</v>
      </c>
      <c r="H22" s="68">
        <f t="shared" si="2"/>
        <v>130</v>
      </c>
      <c r="I22" s="69">
        <f>I21</f>
        <v>254.23</v>
      </c>
      <c r="J22" s="69" t="s">
        <v>27</v>
      </c>
      <c r="K22" s="69">
        <f>K21</f>
        <v>314.58</v>
      </c>
      <c r="L22" s="68">
        <f t="shared" si="4"/>
        <v>2500</v>
      </c>
      <c r="M22" s="68">
        <f t="shared" si="3"/>
        <v>130</v>
      </c>
      <c r="N22" s="69">
        <f>N21</f>
        <v>142.88999999999999</v>
      </c>
      <c r="O22" s="69" t="s">
        <v>27</v>
      </c>
      <c r="P22" s="85">
        <f>P21</f>
        <v>321.22000000000003</v>
      </c>
      <c r="Q22" s="73"/>
      <c r="R22" s="73"/>
      <c r="S22" s="74"/>
      <c r="T22" s="74"/>
      <c r="U22" s="74"/>
      <c r="V22" s="73"/>
      <c r="W22" s="73"/>
      <c r="X22" s="74"/>
      <c r="Y22" s="74"/>
      <c r="Z22" s="74"/>
      <c r="AA22" s="73"/>
      <c r="AB22" s="73"/>
      <c r="AC22" s="74"/>
      <c r="AD22" s="74"/>
      <c r="AE22" s="74"/>
      <c r="AZ22" t="s">
        <v>56</v>
      </c>
      <c r="BB22">
        <f ca="1">INDIRECT(ADDRESS(18+$BC$16,((($BB$16-1)*5)+2)))</f>
        <v>2500</v>
      </c>
    </row>
    <row r="23" spans="1:54" ht="15.75" thickTop="1" x14ac:dyDescent="0.25">
      <c r="A23" s="78" t="s">
        <v>31</v>
      </c>
      <c r="B23" s="79">
        <v>2500</v>
      </c>
      <c r="C23" s="79">
        <v>130</v>
      </c>
      <c r="D23" s="42">
        <v>204.4</v>
      </c>
      <c r="E23" s="42" t="s">
        <v>94</v>
      </c>
      <c r="F23" s="42">
        <v>238.14</v>
      </c>
      <c r="G23" s="79">
        <f t="shared" si="2"/>
        <v>2500</v>
      </c>
      <c r="H23" s="79">
        <f t="shared" si="2"/>
        <v>130</v>
      </c>
      <c r="I23" s="42">
        <v>283.89</v>
      </c>
      <c r="J23" s="42" t="s">
        <v>94</v>
      </c>
      <c r="K23" s="42">
        <v>209.96</v>
      </c>
      <c r="L23" s="79">
        <f t="shared" si="3"/>
        <v>2500</v>
      </c>
      <c r="M23" s="79">
        <f t="shared" si="3"/>
        <v>130</v>
      </c>
      <c r="N23" s="42">
        <v>176.83</v>
      </c>
      <c r="O23" s="42" t="s">
        <v>94</v>
      </c>
      <c r="P23" s="42">
        <v>200.52</v>
      </c>
      <c r="Q23" s="73"/>
      <c r="R23" s="73"/>
      <c r="S23" s="74"/>
      <c r="T23" s="74"/>
      <c r="U23" s="74"/>
      <c r="V23" s="73"/>
      <c r="W23" s="73"/>
      <c r="X23" s="74"/>
      <c r="Y23" s="74"/>
      <c r="Z23" s="74"/>
      <c r="AA23" s="73"/>
      <c r="AB23" s="73"/>
      <c r="AC23" s="74"/>
      <c r="AD23" s="74"/>
      <c r="AE23" s="74"/>
      <c r="AZ23" t="s">
        <v>57</v>
      </c>
      <c r="BB23">
        <f ca="1">INDIRECT(ADDRESS(18+$BC$16,((($BB$16-1)*5)+3)))</f>
        <v>130</v>
      </c>
    </row>
    <row r="24" spans="1:54" x14ac:dyDescent="0.25">
      <c r="A24" s="86" t="s">
        <v>32</v>
      </c>
      <c r="B24" s="41">
        <f>B23</f>
        <v>2500</v>
      </c>
      <c r="C24" s="41">
        <f>C23</f>
        <v>130</v>
      </c>
      <c r="D24" s="42">
        <f>D23</f>
        <v>204.4</v>
      </c>
      <c r="E24" s="42" t="s">
        <v>27</v>
      </c>
      <c r="F24" s="42">
        <f>F23</f>
        <v>238.14</v>
      </c>
      <c r="G24" s="41">
        <f>G23</f>
        <v>2500</v>
      </c>
      <c r="H24" s="41">
        <f t="shared" si="2"/>
        <v>130</v>
      </c>
      <c r="I24" s="42">
        <f>I23</f>
        <v>283.89</v>
      </c>
      <c r="J24" s="42" t="s">
        <v>27</v>
      </c>
      <c r="K24" s="42">
        <f>K23</f>
        <v>209.96</v>
      </c>
      <c r="L24" s="41">
        <f>L23</f>
        <v>2500</v>
      </c>
      <c r="M24" s="41">
        <f t="shared" si="3"/>
        <v>130</v>
      </c>
      <c r="N24" s="42">
        <f>N23</f>
        <v>176.83</v>
      </c>
      <c r="O24" s="42" t="s">
        <v>27</v>
      </c>
      <c r="P24" s="84">
        <f>P23</f>
        <v>200.52</v>
      </c>
      <c r="Q24" s="73"/>
      <c r="R24" s="73"/>
      <c r="S24" s="74"/>
      <c r="T24" s="74"/>
      <c r="U24" s="74"/>
      <c r="V24" s="73"/>
      <c r="W24" s="73"/>
      <c r="X24" s="74"/>
      <c r="Y24" s="74"/>
      <c r="Z24" s="74"/>
      <c r="AA24" s="73"/>
      <c r="AB24" s="73"/>
      <c r="AC24" s="74"/>
      <c r="AD24" s="74"/>
      <c r="AE24" s="74"/>
    </row>
    <row r="25" spans="1:54" x14ac:dyDescent="0.25">
      <c r="A25" s="86" t="s">
        <v>33</v>
      </c>
      <c r="B25" s="41">
        <f>B23</f>
        <v>2500</v>
      </c>
      <c r="C25" s="41">
        <f>C23</f>
        <v>130</v>
      </c>
      <c r="D25" s="42">
        <f>D24</f>
        <v>204.4</v>
      </c>
      <c r="E25" s="42" t="s">
        <v>27</v>
      </c>
      <c r="F25" s="42">
        <f>F24</f>
        <v>238.14</v>
      </c>
      <c r="G25" s="41">
        <f>G23</f>
        <v>2500</v>
      </c>
      <c r="H25" s="41">
        <f t="shared" si="2"/>
        <v>130</v>
      </c>
      <c r="I25" s="42">
        <f>I24</f>
        <v>283.89</v>
      </c>
      <c r="J25" s="42" t="s">
        <v>27</v>
      </c>
      <c r="K25" s="42">
        <f>K24</f>
        <v>209.96</v>
      </c>
      <c r="L25" s="41">
        <f>L23</f>
        <v>2500</v>
      </c>
      <c r="M25" s="41">
        <f t="shared" si="3"/>
        <v>130</v>
      </c>
      <c r="N25" s="42">
        <f>N24</f>
        <v>176.83</v>
      </c>
      <c r="O25" s="42" t="s">
        <v>27</v>
      </c>
      <c r="P25" s="84">
        <f>P24</f>
        <v>200.52</v>
      </c>
      <c r="Q25" s="73"/>
      <c r="R25" s="73"/>
      <c r="S25" s="74"/>
      <c r="T25" s="74"/>
      <c r="U25" s="74"/>
      <c r="V25" s="73"/>
      <c r="W25" s="73"/>
      <c r="X25" s="74"/>
      <c r="Y25" s="74"/>
      <c r="Z25" s="74"/>
      <c r="AA25" s="73"/>
      <c r="AB25" s="73"/>
      <c r="AC25" s="74"/>
      <c r="AD25" s="74"/>
      <c r="AE25" s="74"/>
    </row>
    <row r="26" spans="1:54" ht="15.75" thickBot="1" x14ac:dyDescent="0.3">
      <c r="A26" s="82" t="s">
        <v>34</v>
      </c>
      <c r="B26" s="68">
        <f>B23</f>
        <v>2500</v>
      </c>
      <c r="C26" s="68">
        <f>C23</f>
        <v>130</v>
      </c>
      <c r="D26" s="69">
        <f>D25</f>
        <v>204.4</v>
      </c>
      <c r="E26" s="69" t="s">
        <v>27</v>
      </c>
      <c r="F26" s="69">
        <f>F25</f>
        <v>238.14</v>
      </c>
      <c r="G26" s="68">
        <f>G23</f>
        <v>2500</v>
      </c>
      <c r="H26" s="68">
        <f t="shared" si="2"/>
        <v>130</v>
      </c>
      <c r="I26" s="69">
        <f>I25</f>
        <v>283.89</v>
      </c>
      <c r="J26" s="69" t="s">
        <v>27</v>
      </c>
      <c r="K26" s="69">
        <f>K25</f>
        <v>209.96</v>
      </c>
      <c r="L26" s="68">
        <f>L23</f>
        <v>2500</v>
      </c>
      <c r="M26" s="68">
        <f t="shared" si="3"/>
        <v>130</v>
      </c>
      <c r="N26" s="69">
        <f>N25</f>
        <v>176.83</v>
      </c>
      <c r="O26" s="69" t="s">
        <v>27</v>
      </c>
      <c r="P26" s="85">
        <f>P25</f>
        <v>200.52</v>
      </c>
      <c r="Q26" s="73"/>
      <c r="R26" s="73"/>
      <c r="S26" s="74"/>
      <c r="T26" s="74"/>
      <c r="U26" s="74"/>
      <c r="V26" s="73"/>
      <c r="W26" s="73"/>
      <c r="X26" s="74"/>
      <c r="Y26" s="74"/>
      <c r="Z26" s="74"/>
      <c r="AA26" s="73"/>
      <c r="AB26" s="73"/>
      <c r="AC26" s="74"/>
      <c r="AD26" s="74"/>
      <c r="AE26" s="74"/>
    </row>
    <row r="27" spans="1:54" ht="15.75" thickTop="1" x14ac:dyDescent="0.25">
      <c r="A27" s="78" t="s">
        <v>35</v>
      </c>
      <c r="B27" s="79">
        <v>2500</v>
      </c>
      <c r="C27" s="79">
        <v>130</v>
      </c>
      <c r="D27" s="80">
        <v>250.38</v>
      </c>
      <c r="E27" s="80" t="s">
        <v>94</v>
      </c>
      <c r="F27" s="80">
        <v>146.02000000000001</v>
      </c>
      <c r="G27" s="79">
        <f t="shared" si="2"/>
        <v>2500</v>
      </c>
      <c r="H27" s="79">
        <f t="shared" si="2"/>
        <v>130</v>
      </c>
      <c r="I27" s="80">
        <v>314</v>
      </c>
      <c r="J27" s="80" t="s">
        <v>94</v>
      </c>
      <c r="K27" s="80">
        <v>150.88</v>
      </c>
      <c r="L27" s="79">
        <f t="shared" si="3"/>
        <v>2500</v>
      </c>
      <c r="M27" s="79">
        <f t="shared" si="3"/>
        <v>130</v>
      </c>
      <c r="N27" s="80">
        <v>210.01</v>
      </c>
      <c r="O27" s="80" t="s">
        <v>94</v>
      </c>
      <c r="P27" s="83">
        <v>135.06</v>
      </c>
      <c r="Q27" s="73"/>
      <c r="R27" s="73"/>
      <c r="S27" s="74"/>
      <c r="T27" s="74"/>
      <c r="U27" s="74"/>
      <c r="V27" s="73"/>
      <c r="W27" s="73"/>
      <c r="X27" s="74"/>
      <c r="Y27" s="74"/>
      <c r="Z27" s="74"/>
      <c r="AA27" s="73"/>
      <c r="AB27" s="73"/>
      <c r="AC27" s="74"/>
      <c r="AD27" s="74"/>
      <c r="AE27" s="74"/>
    </row>
    <row r="28" spans="1:54" ht="15.75" thickBot="1" x14ac:dyDescent="0.3">
      <c r="A28" s="82" t="s">
        <v>36</v>
      </c>
      <c r="B28" s="68">
        <f>B27</f>
        <v>2500</v>
      </c>
      <c r="C28" s="68">
        <f>C27</f>
        <v>130</v>
      </c>
      <c r="D28" s="69">
        <f>D27</f>
        <v>250.38</v>
      </c>
      <c r="E28" s="69" t="s">
        <v>27</v>
      </c>
      <c r="F28" s="69">
        <f>F27</f>
        <v>146.02000000000001</v>
      </c>
      <c r="G28" s="68">
        <f>G27</f>
        <v>2500</v>
      </c>
      <c r="H28" s="68">
        <f t="shared" si="2"/>
        <v>130</v>
      </c>
      <c r="I28" s="69">
        <f>I27</f>
        <v>314</v>
      </c>
      <c r="J28" s="69" t="s">
        <v>27</v>
      </c>
      <c r="K28" s="69">
        <f>K27</f>
        <v>150.88</v>
      </c>
      <c r="L28" s="68">
        <f>L27</f>
        <v>2500</v>
      </c>
      <c r="M28" s="68">
        <f t="shared" si="3"/>
        <v>130</v>
      </c>
      <c r="N28" s="69">
        <f>N27</f>
        <v>210.01</v>
      </c>
      <c r="O28" s="69" t="s">
        <v>27</v>
      </c>
      <c r="P28" s="85">
        <f>P27</f>
        <v>135.06</v>
      </c>
      <c r="Q28" s="73"/>
      <c r="R28" s="73"/>
      <c r="S28" s="74"/>
      <c r="T28" s="74"/>
      <c r="U28" s="74"/>
      <c r="V28" s="73"/>
      <c r="W28" s="73"/>
      <c r="X28" s="74"/>
      <c r="Y28" s="74"/>
      <c r="Z28" s="74"/>
      <c r="AA28" s="73"/>
      <c r="AB28" s="73"/>
      <c r="AC28" s="74"/>
      <c r="AD28" s="74"/>
      <c r="AE28" s="74"/>
    </row>
    <row r="29" spans="1:54" ht="16.5" thickTop="1" thickBot="1" x14ac:dyDescent="0.3">
      <c r="A29" s="96" t="s">
        <v>37</v>
      </c>
      <c r="B29" s="97">
        <v>2500</v>
      </c>
      <c r="C29" s="97">
        <v>130</v>
      </c>
      <c r="D29" s="98">
        <v>269.67</v>
      </c>
      <c r="E29" s="98" t="s">
        <v>94</v>
      </c>
      <c r="F29" s="98">
        <v>124.1</v>
      </c>
      <c r="G29" s="97">
        <f t="shared" si="2"/>
        <v>2500</v>
      </c>
      <c r="H29" s="97">
        <f t="shared" si="2"/>
        <v>130</v>
      </c>
      <c r="I29" s="98">
        <v>336.52</v>
      </c>
      <c r="J29" s="98" t="s">
        <v>94</v>
      </c>
      <c r="K29" s="98">
        <v>124.94</v>
      </c>
      <c r="L29" s="97">
        <f t="shared" si="3"/>
        <v>2500</v>
      </c>
      <c r="M29" s="97">
        <f t="shared" si="3"/>
        <v>130</v>
      </c>
      <c r="N29" s="98">
        <v>228.79</v>
      </c>
      <c r="O29" s="98" t="s">
        <v>94</v>
      </c>
      <c r="P29" s="99">
        <v>113.79</v>
      </c>
      <c r="Q29" s="73"/>
      <c r="R29" s="73"/>
      <c r="S29" s="74"/>
      <c r="T29" s="74"/>
      <c r="U29" s="74"/>
      <c r="V29" s="73"/>
      <c r="W29" s="73"/>
      <c r="X29" s="74"/>
      <c r="Y29" s="74"/>
      <c r="Z29" s="74"/>
      <c r="AA29" s="73"/>
      <c r="AB29" s="73"/>
      <c r="AC29" s="74"/>
      <c r="AD29" s="74"/>
      <c r="AE29" s="74"/>
    </row>
    <row r="30" spans="1:54" ht="16.5" thickTop="1" thickBot="1" x14ac:dyDescent="0.3">
      <c r="A30" s="96" t="s">
        <v>38</v>
      </c>
      <c r="B30" s="97">
        <v>2500</v>
      </c>
      <c r="C30" s="97">
        <v>130</v>
      </c>
      <c r="D30" s="98">
        <v>296.3</v>
      </c>
      <c r="E30" s="98" t="s">
        <v>94</v>
      </c>
      <c r="F30" s="98">
        <v>108.43</v>
      </c>
      <c r="G30" s="97">
        <f t="shared" si="2"/>
        <v>2500</v>
      </c>
      <c r="H30" s="97">
        <f t="shared" si="2"/>
        <v>130</v>
      </c>
      <c r="I30" s="98">
        <v>372.09</v>
      </c>
      <c r="J30" s="98" t="s">
        <v>94</v>
      </c>
      <c r="K30" s="98">
        <v>103.63</v>
      </c>
      <c r="L30" s="97">
        <f t="shared" si="3"/>
        <v>2500</v>
      </c>
      <c r="M30" s="97">
        <f t="shared" si="3"/>
        <v>130</v>
      </c>
      <c r="N30" s="98">
        <v>251.39</v>
      </c>
      <c r="O30" s="98" t="s">
        <v>94</v>
      </c>
      <c r="P30" s="99">
        <v>100.66</v>
      </c>
      <c r="Q30" s="73"/>
      <c r="R30" s="73"/>
      <c r="S30" s="74"/>
      <c r="T30" s="74"/>
      <c r="U30" s="74"/>
      <c r="V30" s="73"/>
      <c r="W30" s="73"/>
      <c r="X30" s="74"/>
      <c r="Y30" s="74"/>
      <c r="Z30" s="74"/>
      <c r="AA30" s="73"/>
      <c r="AB30" s="73"/>
      <c r="AC30" s="74"/>
      <c r="AD30" s="74"/>
      <c r="AE30" s="74"/>
    </row>
    <row r="31" spans="1:54" ht="16.5" thickTop="1" thickBot="1" x14ac:dyDescent="0.3">
      <c r="A31" s="96" t="s">
        <v>39</v>
      </c>
      <c r="B31" s="97">
        <v>2500</v>
      </c>
      <c r="C31" s="97">
        <v>130</v>
      </c>
      <c r="D31" s="98">
        <v>495.34</v>
      </c>
      <c r="E31" s="98" t="s">
        <v>94</v>
      </c>
      <c r="F31" s="98">
        <v>77.36</v>
      </c>
      <c r="G31" s="97">
        <f t="shared" si="2"/>
        <v>2500</v>
      </c>
      <c r="H31" s="97">
        <f t="shared" si="2"/>
        <v>130</v>
      </c>
      <c r="I31" s="98">
        <v>555.05999999999995</v>
      </c>
      <c r="J31" s="98" t="s">
        <v>94</v>
      </c>
      <c r="K31" s="98">
        <v>75.09</v>
      </c>
      <c r="L31" s="97">
        <f t="shared" si="3"/>
        <v>2500</v>
      </c>
      <c r="M31" s="97">
        <f t="shared" si="3"/>
        <v>130</v>
      </c>
      <c r="N31" s="98">
        <v>461.09</v>
      </c>
      <c r="O31" s="98" t="s">
        <v>94</v>
      </c>
      <c r="P31" s="99">
        <v>67.91</v>
      </c>
      <c r="Q31" s="73"/>
      <c r="R31" s="73"/>
      <c r="S31" s="74"/>
      <c r="T31" s="74"/>
      <c r="U31" s="74"/>
      <c r="V31" s="73"/>
      <c r="W31" s="73"/>
      <c r="X31" s="74"/>
      <c r="Y31" s="74"/>
      <c r="Z31" s="74"/>
      <c r="AA31" s="73"/>
      <c r="AB31" s="73"/>
      <c r="AC31" s="74"/>
      <c r="AD31" s="74"/>
      <c r="AE31" s="74"/>
    </row>
    <row r="32" spans="1:54" ht="15.75" thickTop="1" x14ac:dyDescent="0.25"/>
    <row r="33" spans="1:6" x14ac:dyDescent="0.25">
      <c r="A33" s="34" t="s">
        <v>40</v>
      </c>
      <c r="B33" s="28"/>
      <c r="C33" s="28"/>
      <c r="D33" s="28"/>
      <c r="E33" s="28"/>
      <c r="F33" s="28"/>
    </row>
    <row r="34" spans="1:6" x14ac:dyDescent="0.25">
      <c r="A34" s="34" t="s">
        <v>41</v>
      </c>
      <c r="B34" s="28"/>
      <c r="C34" s="28"/>
      <c r="D34" s="28"/>
      <c r="E34" s="28"/>
      <c r="F34" s="28"/>
    </row>
    <row r="35" spans="1:6" x14ac:dyDescent="0.25">
      <c r="A35" s="34" t="s">
        <v>92</v>
      </c>
      <c r="B35" s="28"/>
      <c r="C35" s="28"/>
      <c r="D35" s="28"/>
      <c r="E35" s="28"/>
      <c r="F35" s="28"/>
    </row>
    <row r="36" spans="1:6" x14ac:dyDescent="0.25">
      <c r="A36" s="34" t="s">
        <v>42</v>
      </c>
      <c r="B36" s="28"/>
      <c r="C36" s="28"/>
      <c r="D36" s="28"/>
      <c r="E36" s="28"/>
      <c r="F36" s="28"/>
    </row>
    <row r="37" spans="1:6" x14ac:dyDescent="0.25">
      <c r="A37" s="28"/>
      <c r="B37" s="28"/>
      <c r="C37" s="28"/>
      <c r="D37" s="28"/>
      <c r="E37" s="28"/>
      <c r="F37" s="28"/>
    </row>
    <row r="38" spans="1:6" x14ac:dyDescent="0.25">
      <c r="A38" s="38" t="s">
        <v>65</v>
      </c>
      <c r="B38" s="28"/>
      <c r="C38" s="28"/>
      <c r="D38" s="28"/>
      <c r="E38" s="28"/>
      <c r="F38" s="28"/>
    </row>
    <row r="39" spans="1:6" x14ac:dyDescent="0.25">
      <c r="A39" s="34" t="s">
        <v>66</v>
      </c>
      <c r="B39" s="28"/>
      <c r="C39" s="28"/>
      <c r="D39" s="28"/>
      <c r="E39" s="28"/>
      <c r="F39" s="28"/>
    </row>
    <row r="40" spans="1:6" x14ac:dyDescent="0.25">
      <c r="A40" s="34" t="s">
        <v>67</v>
      </c>
      <c r="B40" s="28"/>
      <c r="C40" s="28"/>
      <c r="D40" s="28"/>
      <c r="E40" s="28"/>
      <c r="F40" s="28"/>
    </row>
    <row r="41" spans="1:6" x14ac:dyDescent="0.25">
      <c r="A41" s="34" t="s">
        <v>68</v>
      </c>
      <c r="B41" s="28"/>
      <c r="C41" s="28"/>
      <c r="D41" s="28"/>
      <c r="E41" s="28"/>
      <c r="F41" s="28"/>
    </row>
    <row r="42" spans="1:6" x14ac:dyDescent="0.25">
      <c r="A42" s="39" t="s">
        <v>69</v>
      </c>
      <c r="B42" s="28"/>
      <c r="C42" s="28"/>
      <c r="D42" s="28"/>
      <c r="E42" s="28"/>
      <c r="F42" s="28"/>
    </row>
    <row r="43" spans="1:6" x14ac:dyDescent="0.25">
      <c r="A43" s="39" t="s">
        <v>70</v>
      </c>
      <c r="B43" s="28"/>
      <c r="C43" s="28"/>
      <c r="D43" s="28"/>
      <c r="E43" s="28"/>
      <c r="F43" s="28"/>
    </row>
    <row r="44" spans="1:6" x14ac:dyDescent="0.25">
      <c r="A44" s="34" t="s">
        <v>71</v>
      </c>
      <c r="B44" s="28"/>
      <c r="C44" s="28"/>
      <c r="D44" s="28"/>
      <c r="E44" s="28"/>
      <c r="F44" s="28"/>
    </row>
    <row r="45" spans="1:6" x14ac:dyDescent="0.25">
      <c r="A45" s="39" t="s">
        <v>72</v>
      </c>
      <c r="B45" s="28"/>
      <c r="C45" s="28"/>
      <c r="D45" s="28"/>
      <c r="E45" s="28"/>
      <c r="F45" s="28"/>
    </row>
    <row r="74" spans="1:3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x14ac:dyDescent="0.2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98" spans="2:1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5.75" x14ac:dyDescent="0.25">
      <c r="B99" s="12"/>
      <c r="C99" s="8"/>
      <c r="D99" s="8"/>
      <c r="E99" s="8"/>
    </row>
    <row r="100" spans="2:11" ht="15.75" x14ac:dyDescent="0.25">
      <c r="B100" s="12"/>
      <c r="C100" s="8"/>
      <c r="D100" s="8"/>
      <c r="E100" s="8"/>
    </row>
    <row r="101" spans="2:11" ht="15.75" x14ac:dyDescent="0.25">
      <c r="B101" s="12"/>
      <c r="C101" s="64"/>
      <c r="D101" s="64"/>
      <c r="E101" s="64"/>
    </row>
    <row r="102" spans="2:11" ht="15.75" x14ac:dyDescent="0.25">
      <c r="B102" s="12"/>
      <c r="C102" s="64"/>
      <c r="D102" s="64"/>
      <c r="E102" s="64"/>
      <c r="I102" s="11"/>
    </row>
    <row r="103" spans="2:11" ht="15.75" x14ac:dyDescent="0.25">
      <c r="B103" s="12"/>
      <c r="C103" s="10"/>
      <c r="D103" s="8"/>
      <c r="E103" s="8"/>
      <c r="I103" s="11"/>
    </row>
    <row r="104" spans="2:11" ht="15.75" x14ac:dyDescent="0.25">
      <c r="B104" s="12"/>
      <c r="C104" s="10"/>
      <c r="D104" s="8"/>
      <c r="E104" s="8"/>
      <c r="I104" s="11"/>
    </row>
    <row r="105" spans="2:11" ht="15.75" x14ac:dyDescent="0.25">
      <c r="B105" s="12"/>
      <c r="C105" s="10"/>
      <c r="D105" s="65"/>
      <c r="E105" s="65"/>
      <c r="I105" s="11"/>
    </row>
    <row r="106" spans="2:11" ht="15.75" x14ac:dyDescent="0.25">
      <c r="B106" s="12"/>
      <c r="C106" s="10"/>
      <c r="D106" s="65"/>
      <c r="E106" s="65"/>
      <c r="I106" s="11"/>
    </row>
    <row r="107" spans="2:11" ht="15.75" x14ac:dyDescent="0.25">
      <c r="B107" s="12"/>
      <c r="C107" s="10"/>
      <c r="D107" s="65"/>
      <c r="E107" s="65"/>
      <c r="I107" s="11"/>
    </row>
    <row r="108" spans="2:11" ht="15.75" x14ac:dyDescent="0.25">
      <c r="B108" s="12"/>
      <c r="C108" s="10"/>
      <c r="D108" s="65"/>
      <c r="E108" s="65"/>
      <c r="I108" s="11"/>
    </row>
    <row r="109" spans="2:11" ht="15.75" x14ac:dyDescent="0.25">
      <c r="B109" s="12"/>
      <c r="C109" s="10"/>
      <c r="D109" s="65"/>
      <c r="E109" s="65"/>
      <c r="I109" s="11"/>
    </row>
    <row r="110" spans="2:11" ht="15.75" x14ac:dyDescent="0.25">
      <c r="B110" s="12"/>
      <c r="C110" s="10"/>
      <c r="D110" s="65"/>
      <c r="E110" s="65"/>
      <c r="I110" s="11"/>
    </row>
    <row r="111" spans="2:11" ht="15.75" x14ac:dyDescent="0.25">
      <c r="B111" s="12"/>
      <c r="C111" s="65"/>
      <c r="D111" s="65"/>
      <c r="E111" s="65"/>
      <c r="I111" s="11"/>
    </row>
    <row r="112" spans="2:11" ht="15.75" x14ac:dyDescent="0.25">
      <c r="B112" s="12"/>
      <c r="C112" s="65"/>
      <c r="D112" s="65"/>
      <c r="E112" s="65"/>
      <c r="I112" s="11"/>
    </row>
    <row r="113" spans="2:9" ht="15.75" x14ac:dyDescent="0.25">
      <c r="B113" s="12"/>
      <c r="C113" s="65"/>
      <c r="D113" s="65"/>
      <c r="E113" s="65"/>
      <c r="I113" s="11"/>
    </row>
    <row r="114" spans="2:9" ht="15.75" x14ac:dyDescent="0.25">
      <c r="B114" s="12"/>
      <c r="C114" s="65"/>
      <c r="D114" s="65"/>
      <c r="E114" s="65"/>
      <c r="I114" s="11"/>
    </row>
    <row r="115" spans="2:9" ht="15.75" x14ac:dyDescent="0.25">
      <c r="B115" s="12"/>
      <c r="C115" s="65"/>
      <c r="D115" s="65"/>
      <c r="E115" s="65"/>
      <c r="I115" s="11"/>
    </row>
    <row r="116" spans="2:9" ht="15.75" x14ac:dyDescent="0.25">
      <c r="B116" s="12"/>
      <c r="C116" s="65"/>
      <c r="D116" s="65"/>
      <c r="E116" s="65"/>
      <c r="I116" s="11"/>
    </row>
    <row r="117" spans="2:9" ht="15.75" x14ac:dyDescent="0.25">
      <c r="B117" s="12"/>
      <c r="C117" s="15"/>
      <c r="D117" s="65"/>
      <c r="E117" s="65"/>
      <c r="I117" s="11"/>
    </row>
    <row r="118" spans="2:9" ht="15.75" x14ac:dyDescent="0.25">
      <c r="B118" s="12"/>
      <c r="C118" s="15"/>
      <c r="D118" s="63"/>
      <c r="E118" s="63"/>
      <c r="I118" s="11"/>
    </row>
    <row r="119" spans="2:9" ht="15.75" x14ac:dyDescent="0.25">
      <c r="B119" s="12"/>
      <c r="C119" s="63"/>
      <c r="D119" s="63"/>
      <c r="E119" s="63"/>
      <c r="I119" s="11"/>
    </row>
    <row r="120" spans="2:9" ht="15.75" x14ac:dyDescent="0.25">
      <c r="B120" s="12"/>
      <c r="C120" s="16"/>
      <c r="D120" s="14"/>
      <c r="E120" s="14"/>
      <c r="I120" s="11"/>
    </row>
    <row r="121" spans="2:9" ht="15.75" x14ac:dyDescent="0.25">
      <c r="B121" s="12"/>
      <c r="C121" s="66"/>
      <c r="D121" s="64"/>
      <c r="E121" s="64"/>
      <c r="I121" s="11"/>
    </row>
    <row r="122" spans="2:9" x14ac:dyDescent="0.25">
      <c r="B122" s="64"/>
      <c r="C122" s="64"/>
      <c r="D122" s="64"/>
      <c r="E122" s="64"/>
    </row>
    <row r="123" spans="2:9" x14ac:dyDescent="0.25">
      <c r="B123" s="64"/>
      <c r="C123" s="64"/>
      <c r="D123" s="64"/>
      <c r="E123" s="64"/>
    </row>
    <row r="124" spans="2:9" x14ac:dyDescent="0.25">
      <c r="C124" s="64"/>
      <c r="D124" s="67"/>
      <c r="E124" s="64"/>
    </row>
    <row r="125" spans="2:9" x14ac:dyDescent="0.25">
      <c r="B125" s="64"/>
      <c r="C125" s="64"/>
      <c r="D125" s="64"/>
      <c r="E125" s="64"/>
    </row>
    <row r="126" spans="2:9" x14ac:dyDescent="0.25">
      <c r="B126" s="64"/>
      <c r="C126" s="64"/>
      <c r="D126" s="64"/>
      <c r="E126" s="64"/>
    </row>
    <row r="127" spans="2:9" x14ac:dyDescent="0.25">
      <c r="B127" s="64"/>
      <c r="C127" s="64"/>
      <c r="D127" s="64"/>
      <c r="E127" s="64"/>
    </row>
  </sheetData>
  <mergeCells count="15">
    <mergeCell ref="D16:F16"/>
    <mergeCell ref="I16:K16"/>
    <mergeCell ref="N16:P16"/>
    <mergeCell ref="S16:U16"/>
    <mergeCell ref="T17:T18"/>
    <mergeCell ref="U17:U18"/>
    <mergeCell ref="AC17:AC18"/>
    <mergeCell ref="AD17:AD18"/>
    <mergeCell ref="AE17:AE18"/>
    <mergeCell ref="S17:S18"/>
    <mergeCell ref="X16:Z16"/>
    <mergeCell ref="AC16:AE16"/>
    <mergeCell ref="X17:X18"/>
    <mergeCell ref="Y17:Y18"/>
    <mergeCell ref="Z17:Z18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navrh</vt:lpstr>
      <vt:lpstr>cenik</vt:lpstr>
      <vt:lpstr>cenik!Oblast_tisku</vt:lpstr>
      <vt:lpstr>navrh!Oblast_tisku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pastyrik</dc:creator>
  <cp:lastModifiedBy>pastyrik jakub</cp:lastModifiedBy>
  <cp:lastPrinted>2019-12-02T13:41:00Z</cp:lastPrinted>
  <dcterms:created xsi:type="dcterms:W3CDTF">2013-06-24T12:03:18Z</dcterms:created>
  <dcterms:modified xsi:type="dcterms:W3CDTF">2023-02-24T08:05:50Z</dcterms:modified>
</cp:coreProperties>
</file>