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CT_dokumenty\Excely\kalkulacky\"/>
    </mc:Choice>
  </mc:AlternateContent>
  <bookViews>
    <workbookView xWindow="0" yWindow="0" windowWidth="19200" windowHeight="11595"/>
  </bookViews>
  <sheets>
    <sheet name="navrh" sheetId="1" r:id="rId1"/>
    <sheet name="cenik" sheetId="4" r:id="rId2"/>
  </sheets>
  <definedNames>
    <definedName name="_xlnm.Print_Area" localSheetId="0">navrh!$A$1:$H$46</definedName>
  </definedNames>
  <calcPr calcId="152511"/>
</workbook>
</file>

<file path=xl/calcChain.xml><?xml version="1.0" encoding="utf-8"?>
<calcChain xmlns="http://schemas.openxmlformats.org/spreadsheetml/2006/main">
  <c r="Q43" i="4" l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Q42" i="4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Q41" i="4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C43" i="4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C42" i="4"/>
  <c r="D42" i="4" s="1"/>
  <c r="E42" i="4" s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C41" i="4"/>
  <c r="D41" i="4" s="1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T15" i="1" l="1"/>
  <c r="Q51" i="4"/>
  <c r="R51" i="4"/>
  <c r="S51" i="4" s="1"/>
  <c r="X51" i="4"/>
  <c r="Y51" i="4"/>
  <c r="Z51" i="4" s="1"/>
  <c r="Q52" i="4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A51" i="4" l="1"/>
  <c r="T51" i="4"/>
  <c r="G6" i="1"/>
  <c r="U51" i="4" l="1"/>
  <c r="AB51" i="4"/>
  <c r="C51" i="4"/>
  <c r="D51" i="4" s="1"/>
  <c r="E51" i="4" s="1"/>
  <c r="F51" i="4" s="1"/>
  <c r="G51" i="4" s="1"/>
  <c r="I51" i="4"/>
  <c r="J51" i="4"/>
  <c r="K51" i="4" s="1"/>
  <c r="L51" i="4" s="1"/>
  <c r="M51" i="4" s="1"/>
  <c r="N51" i="4" s="1"/>
  <c r="O51" i="4" s="1"/>
  <c r="P51" i="4" s="1"/>
  <c r="B52" i="4"/>
  <c r="C52" i="4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V51" i="4" l="1"/>
  <c r="E29" i="1"/>
  <c r="D29" i="1"/>
  <c r="AA18" i="1" l="1"/>
  <c r="Y28" i="1"/>
  <c r="AA5" i="1"/>
  <c r="AA12" i="1"/>
  <c r="AA11" i="1"/>
  <c r="AA10" i="1"/>
  <c r="AA9" i="1"/>
  <c r="AA8" i="1"/>
  <c r="AA7" i="1"/>
  <c r="AA6" i="1"/>
  <c r="T18" i="1"/>
  <c r="U15" i="1"/>
  <c r="A77" i="4"/>
  <c r="A76" i="4"/>
  <c r="B77" i="4"/>
  <c r="C77" i="4" s="1"/>
  <c r="D77" i="4" s="1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B76" i="4"/>
  <c r="B75" i="4"/>
  <c r="C75" i="4" s="1"/>
  <c r="D75" i="4" s="1"/>
  <c r="E75" i="4" s="1"/>
  <c r="F75" i="4" s="1"/>
  <c r="G75" i="4" s="1"/>
  <c r="H75" i="4" s="1"/>
  <c r="I75" i="4" s="1"/>
  <c r="J75" i="4" s="1"/>
  <c r="K75" i="4" s="1"/>
  <c r="L75" i="4" s="1"/>
  <c r="M75" i="4" s="1"/>
  <c r="N75" i="4" s="1"/>
  <c r="O75" i="4" s="1"/>
  <c r="P75" i="4" s="1"/>
  <c r="Q75" i="4" s="1"/>
  <c r="R75" i="4" s="1"/>
  <c r="S75" i="4" s="1"/>
  <c r="T75" i="4" s="1"/>
  <c r="U75" i="4" s="1"/>
  <c r="V75" i="4" s="1"/>
  <c r="W75" i="4" s="1"/>
  <c r="X75" i="4" s="1"/>
  <c r="Y75" i="4" s="1"/>
  <c r="Z75" i="4" s="1"/>
  <c r="AA75" i="4" s="1"/>
  <c r="AB75" i="4" s="1"/>
  <c r="B74" i="4"/>
  <c r="C74" i="4" s="1"/>
  <c r="D74" i="4" s="1"/>
  <c r="E74" i="4" s="1"/>
  <c r="F74" i="4" s="1"/>
  <c r="G74" i="4" s="1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l="1"/>
  <c r="Q78" i="4"/>
  <c r="Q79" i="4"/>
  <c r="B78" i="4"/>
  <c r="Y30" i="1"/>
  <c r="V26" i="1"/>
  <c r="C78" i="4"/>
  <c r="F78" i="4"/>
  <c r="N78" i="4"/>
  <c r="L79" i="4"/>
  <c r="G78" i="4"/>
  <c r="M79" i="4"/>
  <c r="H78" i="4"/>
  <c r="P78" i="4"/>
  <c r="N79" i="4"/>
  <c r="O78" i="4"/>
  <c r="I78" i="4"/>
  <c r="O79" i="4"/>
  <c r="J78" i="4"/>
  <c r="H79" i="4"/>
  <c r="P79" i="4"/>
  <c r="D78" i="4"/>
  <c r="J79" i="4"/>
  <c r="K78" i="4"/>
  <c r="I79" i="4"/>
  <c r="L78" i="4"/>
  <c r="E78" i="4"/>
  <c r="M78" i="4"/>
  <c r="K79" i="4"/>
  <c r="R78" i="4" l="1"/>
  <c r="S74" i="4"/>
  <c r="R79" i="4"/>
  <c r="H98" i="4"/>
  <c r="B45" i="4"/>
  <c r="C44" i="4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C20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C19" i="4"/>
  <c r="D19" i="4" s="1"/>
  <c r="E19" i="4" s="1"/>
  <c r="F19" i="4" s="1"/>
  <c r="G19" i="4" s="1"/>
  <c r="H19" i="4" s="1"/>
  <c r="I19" i="4" s="1"/>
  <c r="J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U18" i="1"/>
  <c r="I98" i="4"/>
  <c r="T74" i="4" l="1"/>
  <c r="S78" i="4"/>
  <c r="S79" i="4"/>
  <c r="H45" i="4"/>
  <c r="I45" i="4"/>
  <c r="L46" i="4"/>
  <c r="J45" i="4"/>
  <c r="M46" i="4"/>
  <c r="C45" i="4"/>
  <c r="K45" i="4"/>
  <c r="N46" i="4"/>
  <c r="K46" i="4"/>
  <c r="D45" i="4"/>
  <c r="O46" i="4"/>
  <c r="L45" i="4"/>
  <c r="E45" i="4"/>
  <c r="M45" i="4"/>
  <c r="P46" i="4"/>
  <c r="P45" i="4"/>
  <c r="N45" i="4"/>
  <c r="F45" i="4"/>
  <c r="G45" i="4"/>
  <c r="O45" i="4"/>
  <c r="C76" i="4"/>
  <c r="Z44" i="4"/>
  <c r="AA44" i="4" s="1"/>
  <c r="AB44" i="4" s="1"/>
  <c r="AC44" i="4" s="1"/>
  <c r="AD44" i="4" s="1"/>
  <c r="AE44" i="4" s="1"/>
  <c r="W44" i="4"/>
  <c r="X44" i="4" s="1"/>
  <c r="Y44" i="4" s="1"/>
  <c r="W19" i="4"/>
  <c r="Z19" i="4"/>
  <c r="W20" i="4"/>
  <c r="X20" i="4" s="1"/>
  <c r="Y20" i="4" s="1"/>
  <c r="Z20" i="4"/>
  <c r="AA20" i="4" s="1"/>
  <c r="AB20" i="4" s="1"/>
  <c r="AC20" i="4" s="1"/>
  <c r="AD20" i="4" s="1"/>
  <c r="AE20" i="4" s="1"/>
  <c r="U74" i="4" l="1"/>
  <c r="T78" i="4"/>
  <c r="T79" i="4"/>
  <c r="D76" i="4"/>
  <c r="AA19" i="4"/>
  <c r="X19" i="4"/>
  <c r="V74" i="4" l="1"/>
  <c r="U79" i="4"/>
  <c r="U78" i="4"/>
  <c r="E76" i="4"/>
  <c r="AB19" i="4"/>
  <c r="Y19" i="4"/>
  <c r="U2" i="1"/>
  <c r="W74" i="4" l="1"/>
  <c r="V79" i="4"/>
  <c r="V78" i="4"/>
  <c r="F76" i="4"/>
  <c r="AC19" i="4"/>
  <c r="G98" i="4"/>
  <c r="F98" i="4"/>
  <c r="W79" i="4" l="1"/>
  <c r="W78" i="4"/>
  <c r="X74" i="4"/>
  <c r="AD19" i="4"/>
  <c r="G76" i="4"/>
  <c r="U22" i="1"/>
  <c r="I96" i="4"/>
  <c r="W3" i="1"/>
  <c r="H99" i="4"/>
  <c r="H101" i="4"/>
  <c r="H100" i="4"/>
  <c r="X79" i="4" l="1"/>
  <c r="Y74" i="4"/>
  <c r="X78" i="4"/>
  <c r="V14" i="1"/>
  <c r="V13" i="1"/>
  <c r="V12" i="1"/>
  <c r="V11" i="1"/>
  <c r="V10" i="1"/>
  <c r="V9" i="1"/>
  <c r="V8" i="1"/>
  <c r="V6" i="1"/>
  <c r="V7" i="1"/>
  <c r="AE19" i="4"/>
  <c r="H76" i="4"/>
  <c r="AA19" i="1"/>
  <c r="AA17" i="1"/>
  <c r="AA13" i="1"/>
  <c r="AA14" i="1"/>
  <c r="AA15" i="1"/>
  <c r="AA16" i="1"/>
  <c r="Y26" i="1"/>
  <c r="Y19" i="1"/>
  <c r="Y18" i="1"/>
  <c r="Y17" i="1"/>
  <c r="Y16" i="1"/>
  <c r="Y15" i="1"/>
  <c r="C98" i="4"/>
  <c r="B98" i="4"/>
  <c r="Y10" i="1"/>
  <c r="Y5" i="1"/>
  <c r="Y7" i="1"/>
  <c r="Y12" i="1"/>
  <c r="Y8" i="1"/>
  <c r="Y14" i="1"/>
  <c r="Y6" i="1"/>
  <c r="Y11" i="1"/>
  <c r="Y13" i="1"/>
  <c r="Y9" i="1"/>
  <c r="V5" i="1"/>
  <c r="H103" i="4"/>
  <c r="H106" i="4"/>
  <c r="H104" i="4"/>
  <c r="H109" i="4"/>
  <c r="H108" i="4"/>
  <c r="H119" i="4"/>
  <c r="H114" i="4"/>
  <c r="H117" i="4"/>
  <c r="H111" i="4"/>
  <c r="H107" i="4"/>
  <c r="H118" i="4"/>
  <c r="H120" i="4"/>
  <c r="H115" i="4"/>
  <c r="H121" i="4"/>
  <c r="H116" i="4"/>
  <c r="H112" i="4"/>
  <c r="H102" i="4"/>
  <c r="H110" i="4"/>
  <c r="H113" i="4"/>
  <c r="G96" i="4"/>
  <c r="H105" i="4"/>
  <c r="H123" i="4"/>
  <c r="Q45" i="4" l="1"/>
  <c r="Q46" i="4"/>
  <c r="Z74" i="4"/>
  <c r="Y78" i="4"/>
  <c r="Y79" i="4"/>
  <c r="I76" i="4"/>
  <c r="W21" i="1"/>
  <c r="AA20" i="1"/>
  <c r="X28" i="1"/>
  <c r="W28" i="1"/>
  <c r="W26" i="1"/>
  <c r="X26" i="1"/>
  <c r="I101" i="4"/>
  <c r="I108" i="4"/>
  <c r="I115" i="4"/>
  <c r="C6" i="1"/>
  <c r="I106" i="4"/>
  <c r="I110" i="4"/>
  <c r="I100" i="4"/>
  <c r="I121" i="4"/>
  <c r="I103" i="4"/>
  <c r="I104" i="4"/>
  <c r="I114" i="4"/>
  <c r="I118" i="4"/>
  <c r="I99" i="4"/>
  <c r="I122" i="4"/>
  <c r="I116" i="4"/>
  <c r="I102" i="4"/>
  <c r="I113" i="4"/>
  <c r="I105" i="4"/>
  <c r="I107" i="4"/>
  <c r="I109" i="4"/>
  <c r="I117" i="4"/>
  <c r="I119" i="4"/>
  <c r="I112" i="4"/>
  <c r="I111" i="4"/>
  <c r="I123" i="4"/>
  <c r="R46" i="4" l="1"/>
  <c r="R45" i="4"/>
  <c r="Z78" i="4"/>
  <c r="AA74" i="4"/>
  <c r="Z79" i="4"/>
  <c r="J76" i="4"/>
  <c r="B101" i="4"/>
  <c r="B115" i="4"/>
  <c r="B117" i="4"/>
  <c r="K98" i="4"/>
  <c r="J98" i="4"/>
  <c r="W20" i="1"/>
  <c r="X20" i="1"/>
  <c r="B123" i="4"/>
  <c r="E28" i="1" s="1"/>
  <c r="B100" i="4"/>
  <c r="E17" i="1" s="1"/>
  <c r="B99" i="4"/>
  <c r="B119" i="4"/>
  <c r="D24" i="1" s="1"/>
  <c r="B105" i="4"/>
  <c r="B108" i="4"/>
  <c r="B114" i="4"/>
  <c r="B116" i="4"/>
  <c r="B106" i="4"/>
  <c r="B118" i="4"/>
  <c r="E23" i="1" s="1"/>
  <c r="B112" i="4"/>
  <c r="B107" i="4"/>
  <c r="B113" i="4"/>
  <c r="C100" i="4"/>
  <c r="B121" i="4"/>
  <c r="B109" i="4"/>
  <c r="B110" i="4"/>
  <c r="B103" i="4"/>
  <c r="B111" i="4"/>
  <c r="B102" i="4"/>
  <c r="B104" i="4"/>
  <c r="E11" i="1"/>
  <c r="E5" i="1"/>
  <c r="W32" i="1"/>
  <c r="B13" i="1" s="1"/>
  <c r="W30" i="1"/>
  <c r="S45" i="4" l="1"/>
  <c r="S46" i="4"/>
  <c r="AB74" i="4"/>
  <c r="AA79" i="4"/>
  <c r="AA78" i="4"/>
  <c r="K76" i="4"/>
  <c r="D28" i="1"/>
  <c r="E26" i="1"/>
  <c r="D125" i="4"/>
  <c r="E19" i="1"/>
  <c r="E40" i="1" s="1"/>
  <c r="D19" i="1"/>
  <c r="E18" i="1"/>
  <c r="E39" i="1" s="1"/>
  <c r="D18" i="1"/>
  <c r="D23" i="1"/>
  <c r="D26" i="1"/>
  <c r="E24" i="1"/>
  <c r="D17" i="1"/>
  <c r="B125" i="4"/>
  <c r="T46" i="4" l="1"/>
  <c r="T45" i="4"/>
  <c r="AB78" i="4"/>
  <c r="AB79" i="4"/>
  <c r="L76" i="4"/>
  <c r="G22" i="1"/>
  <c r="D22" i="1"/>
  <c r="E22" i="1" s="1"/>
  <c r="V22" i="1"/>
  <c r="E38" i="1"/>
  <c r="E42" i="1" s="1"/>
  <c r="U45" i="4" l="1"/>
  <c r="U46" i="4"/>
  <c r="M76" i="4"/>
  <c r="V46" i="4" l="1"/>
  <c r="V45" i="4"/>
  <c r="N76" i="4"/>
  <c r="H122" i="4"/>
  <c r="B122" i="4" l="1"/>
  <c r="D27" i="1" s="1"/>
  <c r="E27" i="1" s="1"/>
  <c r="G27" i="1" s="1"/>
  <c r="W45" i="4"/>
  <c r="W46" i="4"/>
  <c r="Z46" i="4"/>
  <c r="Z45" i="4"/>
  <c r="O76" i="4"/>
  <c r="X45" i="4" l="1"/>
  <c r="X46" i="4"/>
  <c r="AA45" i="4"/>
  <c r="AA46" i="4"/>
  <c r="Q76" i="4"/>
  <c r="P76" i="4"/>
  <c r="AB45" i="4" l="1"/>
  <c r="AB46" i="4"/>
  <c r="Y46" i="4"/>
  <c r="Y45" i="4"/>
  <c r="R76" i="4"/>
  <c r="AC45" i="4" l="1"/>
  <c r="AC46" i="4"/>
  <c r="S76" i="4"/>
  <c r="I120" i="4"/>
  <c r="AD45" i="4" l="1"/>
  <c r="AD46" i="4"/>
  <c r="B120" i="4"/>
  <c r="E25" i="1" s="1"/>
  <c r="E31" i="1" s="1"/>
  <c r="E33" i="1" s="1"/>
  <c r="E35" i="1" s="1"/>
  <c r="T76" i="4"/>
  <c r="AE45" i="4" l="1"/>
  <c r="AE46" i="4"/>
  <c r="D25" i="1"/>
  <c r="U76" i="4"/>
  <c r="V76" i="4" l="1"/>
  <c r="W76" i="4" l="1"/>
  <c r="Z76" i="4" l="1"/>
  <c r="X76" i="4"/>
  <c r="AA76" i="4" l="1"/>
  <c r="Y76" i="4"/>
  <c r="AB76" i="4" l="1"/>
</calcChain>
</file>

<file path=xl/comments1.xml><?xml version="1.0" encoding="utf-8"?>
<comments xmlns="http://schemas.openxmlformats.org/spreadsheetml/2006/main">
  <authors>
    <author>pastyrik</author>
    <author>pastyrik jakub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pastyrik:</t>
        </r>
        <r>
          <rPr>
            <sz val="9"/>
            <color indexed="81"/>
            <rFont val="Tahoma"/>
            <family val="2"/>
            <charset val="238"/>
          </rPr>
          <t xml:space="preserve">
pokud nechcete individuální cenu napište 0
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  <charset val="238"/>
          </rPr>
          <t>pastyrik jakub:</t>
        </r>
        <r>
          <rPr>
            <sz val="9"/>
            <color indexed="81"/>
            <rFont val="Tahoma"/>
            <family val="2"/>
            <charset val="238"/>
          </rPr>
          <t xml:space="preserve">
maximální platba ve fakturovaném období za tuto složku ceny je součin odebrabraného množství elektřiny a částky 495 Kč/MWh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  <charset val="238"/>
          </rPr>
          <t>pastyrik jakub:</t>
        </r>
        <r>
          <rPr>
            <sz val="9"/>
            <color indexed="81"/>
            <rFont val="Tahoma"/>
            <family val="2"/>
            <charset val="238"/>
          </rPr>
          <t xml:space="preserve">
Klient bude platit</t>
        </r>
      </text>
    </comment>
  </commentList>
</comments>
</file>

<file path=xl/sharedStrings.xml><?xml version="1.0" encoding="utf-8"?>
<sst xmlns="http://schemas.openxmlformats.org/spreadsheetml/2006/main" count="309" uniqueCount="171">
  <si>
    <t xml:space="preserve"> </t>
  </si>
  <si>
    <t>Klient:</t>
  </si>
  <si>
    <t>P r o p e r t i J a  K u B  P A s T y r i k</t>
  </si>
  <si>
    <t>Provozovatelé distribučních soustav</t>
  </si>
  <si>
    <t>PREdistribuce, a.s., Svornosti 3199/19a, 150 00 Praha 5, IČ: 27376516</t>
  </si>
  <si>
    <t>E.ON Distribuce, a.s., F. A. Gerstnera 2151/6, 370 49 České Budějovice, IČ: 28085400</t>
  </si>
  <si>
    <t>ČEZ Distribuce, a. s., Teplická 874/8, 405 02 Děčín 4 - Podmokly, IČ: 24729035</t>
  </si>
  <si>
    <t>SV sevisní, s.r.o., Dolní 100, 796 01 Prostějov, IČ 6025974</t>
  </si>
  <si>
    <t>Sazby a pevné ceny distribuce elektřiny pro odběratele odebírající elektřinu ze sítí nízkého napětí - kategorie C</t>
  </si>
  <si>
    <t>Sazba C 01d</t>
  </si>
  <si>
    <t>Sazba C 02d</t>
  </si>
  <si>
    <t>Sazba C 03d</t>
  </si>
  <si>
    <t>Sazba C 25d</t>
  </si>
  <si>
    <t>Sazba C 26d</t>
  </si>
  <si>
    <t>Sazba C 35d</t>
  </si>
  <si>
    <t>Sazba C 45d</t>
  </si>
  <si>
    <t>Sazba C 55d</t>
  </si>
  <si>
    <t>Sazba C 56d</t>
  </si>
  <si>
    <t>Silová elektřina se skládá:</t>
  </si>
  <si>
    <t xml:space="preserve"> - z platu za množství odebrané elektřiny v Kč/MWh</t>
  </si>
  <si>
    <t xml:space="preserve"> - z měsíčního platu za odběrné místo v Kč/měs</t>
  </si>
  <si>
    <t>Pevná cena distribuce elektřiny se skládá:</t>
  </si>
  <si>
    <t xml:space="preserve"> - z měsíčního platu za příkon podle jmenovité proudové hodnoty hlavního jističe před elektroměrem, jehož výše v Kč činí:</t>
  </si>
  <si>
    <t>E.ON</t>
  </si>
  <si>
    <t>PRE</t>
  </si>
  <si>
    <t>ČEZ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</si>
  <si>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</si>
  <si>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</si>
  <si>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</si>
  <si>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</si>
  <si>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</si>
  <si>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</si>
  <si>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</si>
  <si>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</si>
  <si>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</si>
  <si>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</si>
  <si>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</si>
  <si>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</si>
  <si>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3x160 A za každou 1 A</t>
  </si>
  <si>
    <t>jistič nad 1x25 A za každou 1 A</t>
  </si>
  <si>
    <t xml:space="preserve"> - z platu za distribuované množství elektřiny:</t>
  </si>
  <si>
    <t>VT Kč/MWh</t>
  </si>
  <si>
    <t>NT Kč/MWh</t>
  </si>
  <si>
    <t xml:space="preserve"> - z platu za systémové služby v Kč/MWh</t>
  </si>
  <si>
    <t xml:space="preserve"> - z platu za obn.zdroje, KVET a druhotné zdr. v Kč/MWh</t>
  </si>
  <si>
    <t>Sazby a pevné ceny distribuce elektřiny pro odběratele odebírající elektřinu ze sítí nízkého napětí - kategorie D</t>
  </si>
  <si>
    <t>Sazba D 01d</t>
  </si>
  <si>
    <t>Sazba D 02d</t>
  </si>
  <si>
    <t>Sazba D 25d</t>
  </si>
  <si>
    <t>Sazba D 26d</t>
  </si>
  <si>
    <t>Sazba D 45d</t>
  </si>
  <si>
    <t>Sazba D 56d</t>
  </si>
  <si>
    <t>jistič nad 3x63 A za každou 1A</t>
  </si>
  <si>
    <t>Spotřeba ve VT [MWh]</t>
  </si>
  <si>
    <t>Spotřeba ve NT [MWh]</t>
  </si>
  <si>
    <t>Sazba</t>
  </si>
  <si>
    <t>Provozovatel DS</t>
  </si>
  <si>
    <t>PREdistribuce</t>
  </si>
  <si>
    <t>D 01d</t>
  </si>
  <si>
    <t>D 02d</t>
  </si>
  <si>
    <t>D 26d</t>
  </si>
  <si>
    <t>D 45d</t>
  </si>
  <si>
    <t>D 56d</t>
  </si>
  <si>
    <t>C 01d</t>
  </si>
  <si>
    <t>C 02d</t>
  </si>
  <si>
    <t>C 03d</t>
  </si>
  <si>
    <t>C 25d</t>
  </si>
  <si>
    <t>C 35d</t>
  </si>
  <si>
    <t>C 45d</t>
  </si>
  <si>
    <t>C 55d</t>
  </si>
  <si>
    <t>C 56d</t>
  </si>
  <si>
    <t>C 26d</t>
  </si>
  <si>
    <t>D 25d</t>
  </si>
  <si>
    <t>Kategorie D</t>
  </si>
  <si>
    <t>Kategorie C</t>
  </si>
  <si>
    <t>D=1/C=2</t>
  </si>
  <si>
    <t>VT</t>
  </si>
  <si>
    <t>NT</t>
  </si>
  <si>
    <t>sazba</t>
  </si>
  <si>
    <t>sazba D</t>
  </si>
  <si>
    <t>sazba C</t>
  </si>
  <si>
    <t>Jistic D</t>
  </si>
  <si>
    <t>Jistic C</t>
  </si>
  <si>
    <t>offset</t>
  </si>
  <si>
    <t>C</t>
  </si>
  <si>
    <t>D</t>
  </si>
  <si>
    <t>silovka</t>
  </si>
  <si>
    <t>odber misto</t>
  </si>
  <si>
    <t>sys</t>
  </si>
  <si>
    <t>Cena za silovou elektřinu:</t>
  </si>
  <si>
    <t>Vaše roční platba</t>
  </si>
  <si>
    <t>jistič</t>
  </si>
  <si>
    <t>Ceníková položka</t>
  </si>
  <si>
    <t xml:space="preserve"> - platba za příkon podle hlavního jističe Kč/měs:</t>
  </si>
  <si>
    <t xml:space="preserve"> - za distribuovanou el. v VT Kč/MWh:</t>
  </si>
  <si>
    <t xml:space="preserve"> - za distribuovanou el. v NT Kč/MWh:</t>
  </si>
  <si>
    <t xml:space="preserve"> - platba za odběrné místo v Kč/měs:</t>
  </si>
  <si>
    <t xml:space="preserve"> - za obn.zdroje, KVET a druh. zdr. v Kč/MWh:</t>
  </si>
  <si>
    <t xml:space="preserve"> - za systémové služby v Kč/MWh:</t>
  </si>
  <si>
    <t>Hodnota proud. jističe</t>
  </si>
  <si>
    <t>Pevná cena za distribuci el.:</t>
  </si>
  <si>
    <t xml:space="preserve"> - za množství odebrané VT elektřiny v Kč/MWh:</t>
  </si>
  <si>
    <t xml:space="preserve"> - za množství odebrané NT elektřiny v Kč/MWh:</t>
  </si>
  <si>
    <t>Stávající platba vč. DPH [Kč]</t>
  </si>
  <si>
    <t>Platba celkem za rok s DPH v Kč</t>
  </si>
  <si>
    <t>Platba celkem za rok bez DPH v Kč</t>
  </si>
  <si>
    <t xml:space="preserve"> - Daň z elektřiny Kč/MWh:</t>
  </si>
  <si>
    <t>Plátce daně z elektřiny</t>
  </si>
  <si>
    <t>NE</t>
  </si>
  <si>
    <t>ANO</t>
  </si>
  <si>
    <t>Zadej proudové jištění [A]</t>
  </si>
  <si>
    <t>Měsíční záloha v Kč s DPH</t>
  </si>
  <si>
    <t>Současná cena za silovou El. ve VT kč/MWh</t>
  </si>
  <si>
    <t>Současná cena za silovou El. ve NT kč/MWh</t>
  </si>
  <si>
    <t>Současná platba za odběrné místo v Kč/měs</t>
  </si>
  <si>
    <t xml:space="preserve"> - za silovou elektřinu ve VT </t>
  </si>
  <si>
    <t xml:space="preserve"> - za silovou elektřinu ve NT </t>
  </si>
  <si>
    <t xml:space="preserve"> - za platbu za odběrné místo </t>
  </si>
  <si>
    <t>Úspora pro klienta ČT:</t>
  </si>
  <si>
    <t>Úspora celkem pro klienta za rok s DPH v Kč</t>
  </si>
  <si>
    <t>VT i NT</t>
  </si>
  <si>
    <t>tarif VT a C5 &lt;&gt; 0</t>
  </si>
  <si>
    <t>tarif VT a D11 &lt;&gt; 0</t>
  </si>
  <si>
    <t>tarif VTNT a C5 = 0</t>
  </si>
  <si>
    <t>tarif VTNT a D11 = 0</t>
  </si>
  <si>
    <t>** Nezadávejte spotřebu v NT zadejte 0</t>
  </si>
  <si>
    <t>** Nezadávejte cenu za silovou el. v NT - zadejte 0</t>
  </si>
  <si>
    <t>** Nezadávejte spotřebu v NT ani cenu v NT - zadejte 0</t>
  </si>
  <si>
    <t>** Zadejte roční spotřebu el. v NT [MWh]</t>
  </si>
  <si>
    <t>** Zadejte cenu  silové el. v NT u současného dodavatele</t>
  </si>
  <si>
    <t>** Zadejte spotřebu v NT a současnou cenu za silovou el. v NT</t>
  </si>
  <si>
    <t>Individuální cena</t>
  </si>
  <si>
    <t>*</t>
  </si>
  <si>
    <t>***</t>
  </si>
  <si>
    <t>Sazba D 35d</t>
  </si>
  <si>
    <t>CEZ=1/E.ON=2/PRE=3</t>
  </si>
  <si>
    <t>D 35d</t>
  </si>
  <si>
    <t>Sazba C 46d</t>
  </si>
  <si>
    <t>D 57d</t>
  </si>
  <si>
    <t>C 46d</t>
  </si>
  <si>
    <t xml:space="preserve"> - z platu za obn.zdroje, KVET a druhotné zdr. v Kč/A/měs. a fázi *)</t>
  </si>
  <si>
    <t xml:space="preserve"> - z platu za činnost OTE v Kč/OPM/měs. **)</t>
  </si>
  <si>
    <t>Celkem cena za proměnnou část tarifu ve VT v Kč/MWh</t>
  </si>
  <si>
    <t>Celkem cena za proměnnou část tarifu v NT v Kč/MWh</t>
  </si>
  <si>
    <t>kvet/m</t>
  </si>
  <si>
    <t>kvet/A/m</t>
  </si>
  <si>
    <t>OTE</t>
  </si>
  <si>
    <t>Sazba D 57d</t>
  </si>
  <si>
    <t>Produkt: MALO_04</t>
  </si>
  <si>
    <t>fáze</t>
  </si>
  <si>
    <t>Fáze</t>
  </si>
  <si>
    <t>Sazba =D57d a A&gt;160 a 3 Fáze</t>
  </si>
  <si>
    <t>A&gt;25 a 1 Faze</t>
  </si>
  <si>
    <t>Sazba !=D57d a A&gt;63 a 3 Fáze a Decko</t>
  </si>
  <si>
    <t>All</t>
  </si>
  <si>
    <t>decko mimo D57</t>
  </si>
  <si>
    <t>Jen Cecko a D57</t>
  </si>
  <si>
    <t>Ampery</t>
  </si>
  <si>
    <t>****</t>
  </si>
  <si>
    <t xml:space="preserve"> - za obn.zdroje, KVET a druh. zdr. v Kč/A/měs. a fázi</t>
  </si>
  <si>
    <t>*) Zde můžete zákazníkovi zadat individuální cenu za MWh, jinak ponechte hodnotu 0</t>
  </si>
  <si>
    <t>***) Měsíční záloha je zaokrouhlena na celé stokoruny</t>
  </si>
  <si>
    <t>****) maximální platba ve fakturovaném období za tuto složku ceny je součin odebraného množství elektřiny a částky 495 Kč/MWh</t>
  </si>
  <si>
    <t>Tomáš Slunečník</t>
  </si>
  <si>
    <t xml:space="preserve"> - z platu za činnost OTE v v Kč/OPM/měs.</t>
  </si>
  <si>
    <t>Ceník MALO_04 -  elektrické energie společnosti České teplo 2019 dle cenového rozhodnutí Energetického regulačního úřadu</t>
  </si>
  <si>
    <t>.</t>
  </si>
  <si>
    <t>D 27d</t>
  </si>
  <si>
    <t>Sazba D 27d</t>
  </si>
  <si>
    <t>platne od 1.1.2020</t>
  </si>
  <si>
    <t>2020-Verze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</si>
</sst>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</font>
    <font>
      <b/>
      <sz val="16"/>
      <color rgb="FFC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4" fillId="0" borderId="16" xfId="0" applyNumberFormat="1" applyFont="1" applyFill="1" applyBorder="1" applyAlignment="1" applyProtection="1">
      <alignment vertical="top"/>
    </xf>
    <xf numFmtId="0" fontId="4" fillId="0" borderId="18" xfId="0" applyNumberFormat="1" applyFont="1" applyFill="1" applyBorder="1" applyAlignment="1" applyProtection="1">
      <alignment vertical="top"/>
    </xf>
    <xf numFmtId="0" fontId="8" fillId="0" borderId="18" xfId="0" applyNumberFormat="1" applyFont="1" applyFill="1" applyBorder="1" applyAlignment="1" applyProtection="1">
      <alignment vertical="top"/>
    </xf>
    <xf numFmtId="0" fontId="4" fillId="0" borderId="20" xfId="0" applyNumberFormat="1" applyFont="1" applyFill="1" applyBorder="1" applyAlignment="1" applyProtection="1">
      <alignment vertical="top"/>
    </xf>
    <xf numFmtId="0" fontId="9" fillId="0" borderId="2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vertical="top"/>
    </xf>
    <xf numFmtId="0" fontId="8" fillId="0" borderId="2" xfId="0" applyNumberFormat="1" applyFont="1" applyFill="1" applyBorder="1" applyAlignment="1" applyProtection="1">
      <alignment vertical="top"/>
    </xf>
    <xf numFmtId="0" fontId="4" fillId="0" borderId="22" xfId="0" applyNumberFormat="1" applyFont="1" applyFill="1" applyBorder="1" applyAlignment="1" applyProtection="1">
      <alignment vertical="top"/>
    </xf>
    <xf numFmtId="0" fontId="10" fillId="0" borderId="23" xfId="0" applyNumberFormat="1" applyFont="1" applyFill="1" applyBorder="1" applyAlignment="1" applyProtection="1">
      <alignment vertical="top"/>
    </xf>
    <xf numFmtId="0" fontId="10" fillId="0" borderId="25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0" fontId="7" fillId="0" borderId="23" xfId="0" applyNumberFormat="1" applyFont="1" applyFill="1" applyBorder="1" applyAlignment="1" applyProtection="1">
      <alignment vertical="top"/>
    </xf>
    <xf numFmtId="0" fontId="4" fillId="0" borderId="12" xfId="0" applyNumberFormat="1" applyFont="1" applyFill="1" applyBorder="1" applyAlignment="1" applyProtection="1">
      <alignment vertical="top"/>
    </xf>
    <xf numFmtId="0" fontId="4" fillId="0" borderId="8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vertical="top"/>
    </xf>
    <xf numFmtId="0" fontId="4" fillId="0" borderId="24" xfId="0" applyNumberFormat="1" applyFont="1" applyFill="1" applyBorder="1" applyAlignment="1" applyProtection="1">
      <alignment vertical="top"/>
    </xf>
    <xf numFmtId="0" fontId="4" fillId="0" borderId="23" xfId="0" applyNumberFormat="1" applyFont="1" applyFill="1" applyBorder="1" applyAlignment="1" applyProtection="1">
      <alignment horizontal="left" vertical="top"/>
    </xf>
    <xf numFmtId="0" fontId="10" fillId="0" borderId="8" xfId="0" applyNumberFormat="1" applyFont="1" applyFill="1" applyBorder="1" applyAlignment="1" applyProtection="1">
      <alignment horizontal="center" vertical="top"/>
    </xf>
    <xf numFmtId="0" fontId="10" fillId="0" borderId="24" xfId="0" applyNumberFormat="1" applyFont="1" applyFill="1" applyBorder="1" applyAlignment="1" applyProtection="1">
      <alignment horizontal="center" vertical="top"/>
    </xf>
    <xf numFmtId="0" fontId="11" fillId="0" borderId="23" xfId="0" applyNumberFormat="1" applyFont="1" applyFill="1" applyBorder="1" applyAlignment="1" applyProtection="1">
      <alignment horizontal="left" vertical="top"/>
    </xf>
    <xf numFmtId="0" fontId="7" fillId="0" borderId="23" xfId="0" applyNumberFormat="1" applyFont="1" applyFill="1" applyBorder="1" applyAlignment="1" applyProtection="1">
      <alignment horizontal="left" vertical="top"/>
    </xf>
    <xf numFmtId="0" fontId="11" fillId="0" borderId="25" xfId="0" applyNumberFormat="1" applyFont="1" applyFill="1" applyBorder="1" applyAlignment="1" applyProtection="1">
      <alignment horizontal="left" vertical="top"/>
    </xf>
    <xf numFmtId="0" fontId="11" fillId="0" borderId="28" xfId="0" applyNumberFormat="1" applyFont="1" applyFill="1" applyBorder="1" applyAlignment="1" applyProtection="1">
      <alignment horizontal="left" vertical="top"/>
    </xf>
    <xf numFmtId="0" fontId="6" fillId="0" borderId="17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4" fontId="10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right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3" fillId="6" borderId="31" xfId="0" applyFont="1" applyFill="1" applyBorder="1" applyAlignment="1">
      <alignment horizontal="center"/>
    </xf>
    <xf numFmtId="0" fontId="14" fillId="3" borderId="9" xfId="0" applyFont="1" applyFill="1" applyBorder="1"/>
    <xf numFmtId="0" fontId="14" fillId="3" borderId="10" xfId="0" applyFont="1" applyFill="1" applyBorder="1"/>
    <xf numFmtId="0" fontId="15" fillId="0" borderId="0" xfId="0" applyFont="1"/>
    <xf numFmtId="0" fontId="0" fillId="4" borderId="3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4" fillId="3" borderId="40" xfId="0" applyFont="1" applyFill="1" applyBorder="1"/>
    <xf numFmtId="0" fontId="13" fillId="6" borderId="31" xfId="0" applyFont="1" applyFill="1" applyBorder="1" applyProtection="1">
      <protection hidden="1"/>
    </xf>
    <xf numFmtId="0" fontId="13" fillId="6" borderId="31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4" borderId="9" xfId="0" applyFill="1" applyBorder="1" applyAlignment="1" applyProtection="1">
      <alignment horizontal="right"/>
      <protection locked="0" hidden="1"/>
    </xf>
    <xf numFmtId="0" fontId="0" fillId="4" borderId="11" xfId="0" applyFill="1" applyBorder="1" applyAlignment="1" applyProtection="1">
      <alignment horizontal="right"/>
      <protection locked="0" hidden="1"/>
    </xf>
    <xf numFmtId="0" fontId="16" fillId="6" borderId="31" xfId="0" applyFont="1" applyFill="1" applyBorder="1" applyProtection="1">
      <protection locked="0" hidden="1"/>
    </xf>
    <xf numFmtId="0" fontId="0" fillId="0" borderId="46" xfId="0" applyBorder="1" applyAlignment="1" applyProtection="1">
      <alignment horizontal="right"/>
      <protection locked="0" hidden="1"/>
    </xf>
    <xf numFmtId="0" fontId="0" fillId="0" borderId="0" xfId="0" applyProtection="1">
      <protection locked="0" hidden="1"/>
    </xf>
    <xf numFmtId="16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 hidden="1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9" fillId="0" borderId="18" xfId="0" applyNumberFormat="1" applyFont="1" applyFill="1" applyBorder="1" applyAlignment="1" applyProtection="1">
      <alignment vertical="top"/>
    </xf>
    <xf numFmtId="0" fontId="19" fillId="0" borderId="19" xfId="0" applyNumberFormat="1" applyFont="1" applyFill="1" applyBorder="1" applyAlignment="1" applyProtection="1">
      <alignment vertical="top"/>
    </xf>
    <xf numFmtId="0" fontId="19" fillId="0" borderId="20" xfId="0" applyNumberFormat="1" applyFont="1" applyFill="1" applyBorder="1" applyAlignment="1" applyProtection="1">
      <alignment vertical="top"/>
    </xf>
    <xf numFmtId="0" fontId="19" fillId="0" borderId="2" xfId="0" applyNumberFormat="1" applyFont="1" applyFill="1" applyBorder="1" applyAlignment="1" applyProtection="1">
      <alignment vertical="top"/>
    </xf>
    <xf numFmtId="0" fontId="19" fillId="0" borderId="3" xfId="0" applyNumberFormat="1" applyFont="1" applyFill="1" applyBorder="1" applyAlignment="1" applyProtection="1">
      <alignment vertical="top"/>
    </xf>
    <xf numFmtId="0" fontId="19" fillId="0" borderId="22" xfId="0" applyNumberFormat="1" applyFont="1" applyFill="1" applyBorder="1" applyAlignment="1" applyProtection="1">
      <alignment vertical="top"/>
    </xf>
    <xf numFmtId="4" fontId="4" fillId="5" borderId="12" xfId="0" applyNumberFormat="1" applyFont="1" applyFill="1" applyBorder="1" applyAlignment="1" applyProtection="1">
      <alignment horizontal="right" vertical="center"/>
    </xf>
    <xf numFmtId="4" fontId="4" fillId="5" borderId="8" xfId="0" applyNumberFormat="1" applyFont="1" applyFill="1" applyBorder="1" applyAlignment="1" applyProtection="1">
      <alignment vertical="top"/>
    </xf>
    <xf numFmtId="4" fontId="4" fillId="5" borderId="26" xfId="0" applyNumberFormat="1" applyFont="1" applyFill="1" applyBorder="1" applyAlignment="1" applyProtection="1">
      <alignment horizontal="right" vertical="center"/>
    </xf>
    <xf numFmtId="4" fontId="4" fillId="5" borderId="4" xfId="0" applyNumberFormat="1" applyFont="1" applyFill="1" applyBorder="1" applyAlignment="1" applyProtection="1">
      <alignment vertical="top"/>
    </xf>
    <xf numFmtId="4" fontId="4" fillId="5" borderId="5" xfId="0" applyNumberFormat="1" applyFont="1" applyFill="1" applyBorder="1" applyAlignment="1" applyProtection="1">
      <alignment vertical="top"/>
    </xf>
    <xf numFmtId="4" fontId="4" fillId="5" borderId="27" xfId="0" applyNumberFormat="1" applyFont="1" applyFill="1" applyBorder="1" applyAlignment="1" applyProtection="1">
      <alignment vertical="top"/>
    </xf>
    <xf numFmtId="0" fontId="19" fillId="0" borderId="47" xfId="0" applyNumberFormat="1" applyFont="1" applyFill="1" applyBorder="1" applyAlignment="1" applyProtection="1">
      <alignment vertical="top"/>
    </xf>
    <xf numFmtId="0" fontId="19" fillId="0" borderId="39" xfId="0" applyNumberFormat="1" applyFont="1" applyFill="1" applyBorder="1" applyAlignment="1" applyProtection="1">
      <alignment vertical="top"/>
    </xf>
    <xf numFmtId="0" fontId="19" fillId="0" borderId="48" xfId="0" applyNumberFormat="1" applyFont="1" applyFill="1" applyBorder="1" applyAlignment="1" applyProtection="1">
      <alignment vertical="top"/>
    </xf>
    <xf numFmtId="0" fontId="19" fillId="0" borderId="46" xfId="0" applyNumberFormat="1" applyFont="1" applyFill="1" applyBorder="1" applyAlignment="1" applyProtection="1">
      <alignment vertical="top"/>
    </xf>
    <xf numFmtId="0" fontId="19" fillId="0" borderId="42" xfId="0" applyNumberFormat="1" applyFont="1" applyFill="1" applyBorder="1" applyAlignment="1" applyProtection="1">
      <alignment vertical="top"/>
    </xf>
    <xf numFmtId="0" fontId="19" fillId="0" borderId="49" xfId="0" applyNumberFormat="1" applyFont="1" applyFill="1" applyBorder="1" applyAlignment="1" applyProtection="1">
      <alignment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24" xfId="0" applyNumberFormat="1" applyFont="1" applyFill="1" applyBorder="1" applyAlignment="1" applyProtection="1">
      <alignment horizontal="right" vertical="center"/>
    </xf>
    <xf numFmtId="4" fontId="4" fillId="0" borderId="2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29" xfId="0" applyNumberFormat="1" applyFont="1" applyFill="1" applyBorder="1" applyAlignment="1" applyProtection="1">
      <alignment horizontal="right" vertical="center"/>
    </xf>
    <xf numFmtId="4" fontId="4" fillId="0" borderId="30" xfId="0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0" fontId="8" fillId="0" borderId="50" xfId="0" applyNumberFormat="1" applyFont="1" applyFill="1" applyBorder="1" applyAlignment="1" applyProtection="1">
      <alignment vertical="top"/>
    </xf>
    <xf numFmtId="0" fontId="8" fillId="0" borderId="51" xfId="0" applyNumberFormat="1" applyFont="1" applyFill="1" applyBorder="1" applyAlignment="1" applyProtection="1">
      <alignment vertical="top"/>
    </xf>
    <xf numFmtId="4" fontId="4" fillId="5" borderId="8" xfId="0" applyNumberFormat="1" applyFont="1" applyFill="1" applyBorder="1" applyAlignment="1" applyProtection="1">
      <alignment horizontal="right" vertical="center"/>
    </xf>
    <xf numFmtId="4" fontId="4" fillId="5" borderId="4" xfId="0" applyNumberFormat="1" applyFont="1" applyFill="1" applyBorder="1" applyAlignment="1" applyProtection="1">
      <alignment horizontal="right" vertical="center"/>
    </xf>
    <xf numFmtId="4" fontId="4" fillId="5" borderId="5" xfId="0" applyNumberFormat="1" applyFont="1" applyFill="1" applyBorder="1" applyAlignment="1" applyProtection="1">
      <alignment horizontal="right" vertical="center"/>
    </xf>
    <xf numFmtId="4" fontId="4" fillId="5" borderId="52" xfId="0" applyNumberFormat="1" applyFont="1" applyFill="1" applyBorder="1" applyAlignment="1" applyProtection="1">
      <alignment horizontal="right" vertical="center"/>
    </xf>
    <xf numFmtId="4" fontId="4" fillId="5" borderId="27" xfId="0" applyNumberFormat="1" applyFont="1" applyFill="1" applyBorder="1" applyAlignment="1" applyProtection="1">
      <alignment horizontal="right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>
      <alignment horizontal="center" vertical="center"/>
    </xf>
    <xf numFmtId="4" fontId="4" fillId="0" borderId="36" xfId="0" applyNumberFormat="1" applyFont="1" applyFill="1" applyBorder="1" applyAlignment="1" applyProtection="1">
      <alignment horizontal="right" vertical="center"/>
    </xf>
    <xf numFmtId="0" fontId="19" fillId="0" borderId="36" xfId="0" applyNumberFormat="1" applyFont="1" applyFill="1" applyBorder="1" applyAlignment="1" applyProtection="1">
      <alignment vertical="top"/>
    </xf>
    <xf numFmtId="0" fontId="19" fillId="0" borderId="8" xfId="0" applyNumberFormat="1" applyFont="1" applyFill="1" applyBorder="1" applyAlignment="1" applyProtection="1">
      <alignment vertical="top"/>
    </xf>
    <xf numFmtId="0" fontId="19" fillId="0" borderId="7" xfId="0" applyNumberFormat="1" applyFont="1" applyFill="1" applyBorder="1" applyAlignment="1" applyProtection="1">
      <alignment vertical="top"/>
    </xf>
    <xf numFmtId="4" fontId="4" fillId="0" borderId="52" xfId="0" applyNumberFormat="1" applyFont="1" applyFill="1" applyBorder="1" applyAlignment="1" applyProtection="1">
      <alignment horizontal="right" vertical="center"/>
    </xf>
    <xf numFmtId="0" fontId="19" fillId="0" borderId="12" xfId="0" applyNumberFormat="1" applyFont="1" applyFill="1" applyBorder="1" applyAlignment="1" applyProtection="1">
      <alignment vertical="top"/>
    </xf>
    <xf numFmtId="4" fontId="4" fillId="5" borderId="7" xfId="0" applyNumberFormat="1" applyFont="1" applyFill="1" applyBorder="1" applyAlignment="1" applyProtection="1">
      <alignment vertical="center"/>
    </xf>
    <xf numFmtId="4" fontId="4" fillId="5" borderId="8" xfId="0" applyNumberFormat="1" applyFont="1" applyFill="1" applyBorder="1" applyAlignment="1" applyProtection="1">
      <alignment vertical="center"/>
    </xf>
    <xf numFmtId="4" fontId="4" fillId="5" borderId="12" xfId="0" applyNumberFormat="1" applyFont="1" applyFill="1" applyBorder="1" applyAlignment="1" applyProtection="1">
      <alignment vertical="center"/>
    </xf>
    <xf numFmtId="4" fontId="4" fillId="5" borderId="24" xfId="0" applyNumberFormat="1" applyFont="1" applyFill="1" applyBorder="1" applyAlignment="1" applyProtection="1">
      <alignment horizontal="right" vertical="center"/>
    </xf>
    <xf numFmtId="4" fontId="19" fillId="0" borderId="36" xfId="0" applyNumberFormat="1" applyFont="1" applyFill="1" applyBorder="1" applyAlignment="1" applyProtection="1">
      <alignment vertical="top"/>
    </xf>
    <xf numFmtId="4" fontId="19" fillId="0" borderId="12" xfId="0" applyNumberFormat="1" applyFont="1" applyFill="1" applyBorder="1" applyAlignment="1" applyProtection="1">
      <alignment vertical="top"/>
    </xf>
    <xf numFmtId="4" fontId="4" fillId="0" borderId="7" xfId="0" applyNumberFormat="1" applyFont="1" applyFill="1" applyBorder="1" applyAlignment="1" applyProtection="1">
      <alignment vertical="top"/>
    </xf>
    <xf numFmtId="4" fontId="19" fillId="0" borderId="8" xfId="0" applyNumberFormat="1" applyFont="1" applyFill="1" applyBorder="1" applyAlignment="1" applyProtection="1">
      <alignment vertical="top"/>
    </xf>
    <xf numFmtId="4" fontId="19" fillId="0" borderId="7" xfId="0" applyNumberFormat="1" applyFont="1" applyFill="1" applyBorder="1" applyAlignment="1" applyProtection="1">
      <alignment vertical="top"/>
    </xf>
    <xf numFmtId="4" fontId="4" fillId="0" borderId="53" xfId="0" applyNumberFormat="1" applyFont="1" applyFill="1" applyBorder="1" applyAlignment="1" applyProtection="1">
      <alignment horizontal="right" vertical="center"/>
    </xf>
    <xf numFmtId="4" fontId="4" fillId="0" borderId="5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22" xfId="0" applyNumberFormat="1" applyFont="1" applyFill="1" applyBorder="1" applyAlignment="1" applyProtection="1">
      <alignment horizontal="right" vertical="center"/>
    </xf>
    <xf numFmtId="4" fontId="4" fillId="0" borderId="56" xfId="0" applyNumberFormat="1" applyFont="1" applyFill="1" applyBorder="1" applyAlignment="1" applyProtection="1">
      <alignment horizontal="right" vertical="center"/>
    </xf>
    <xf numFmtId="4" fontId="4" fillId="0" borderId="57" xfId="0" applyNumberFormat="1" applyFont="1" applyFill="1" applyBorder="1" applyAlignment="1" applyProtection="1">
      <alignment horizontal="right" vertical="center"/>
    </xf>
    <xf numFmtId="4" fontId="4" fillId="0" borderId="58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8" fillId="7" borderId="0" xfId="0" applyNumberFormat="1" applyFont="1" applyFill="1" applyBorder="1" applyAlignment="1" applyProtection="1">
      <alignment vertical="top"/>
    </xf>
    <xf numFmtId="0" fontId="0" fillId="7" borderId="0" xfId="0" applyFill="1"/>
    <xf numFmtId="0" fontId="4" fillId="8" borderId="0" xfId="0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4" fillId="0" borderId="19" xfId="0" applyNumberFormat="1" applyFont="1" applyFill="1" applyBorder="1" applyAlignment="1" applyProtection="1">
      <alignment vertical="top"/>
    </xf>
    <xf numFmtId="4" fontId="4" fillId="5" borderId="7" xfId="0" applyNumberFormat="1" applyFont="1" applyFill="1" applyBorder="1" applyAlignment="1" applyProtection="1">
      <alignment vertical="top"/>
    </xf>
    <xf numFmtId="4" fontId="4" fillId="5" borderId="12" xfId="0" applyNumberFormat="1" applyFont="1" applyFill="1" applyBorder="1" applyAlignment="1" applyProtection="1">
      <alignment vertical="top"/>
    </xf>
    <xf numFmtId="4" fontId="4" fillId="5" borderId="24" xfId="0" applyNumberFormat="1" applyFont="1" applyFill="1" applyBorder="1" applyAlignment="1" applyProtection="1">
      <alignment vertical="top"/>
    </xf>
    <xf numFmtId="0" fontId="14" fillId="3" borderId="31" xfId="0" applyFont="1" applyFill="1" applyBorder="1"/>
    <xf numFmtId="0" fontId="0" fillId="4" borderId="31" xfId="0" applyFill="1" applyBorder="1" applyAlignment="1" applyProtection="1">
      <alignment horizontal="center"/>
      <protection locked="0"/>
    </xf>
    <xf numFmtId="1" fontId="0" fillId="4" borderId="31" xfId="0" applyNumberForma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right"/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4" fontId="0" fillId="3" borderId="58" xfId="0" applyNumberFormat="1" applyFill="1" applyBorder="1" applyAlignment="1" applyProtection="1">
      <alignment horizontal="right"/>
      <protection hidden="1"/>
    </xf>
    <xf numFmtId="4" fontId="0" fillId="3" borderId="62" xfId="0" applyNumberFormat="1" applyFill="1" applyBorder="1" applyAlignment="1" applyProtection="1">
      <alignment horizontal="right"/>
      <protection hidden="1"/>
    </xf>
    <xf numFmtId="4" fontId="0" fillId="3" borderId="66" xfId="0" applyNumberFormat="1" applyFill="1" applyBorder="1" applyAlignment="1" applyProtection="1">
      <alignment horizontal="right"/>
      <protection hidden="1"/>
    </xf>
    <xf numFmtId="0" fontId="0" fillId="3" borderId="38" xfId="0" applyFill="1" applyBorder="1" applyAlignment="1" applyProtection="1">
      <alignment horizontal="right"/>
    </xf>
    <xf numFmtId="0" fontId="2" fillId="2" borderId="3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/>
    <xf numFmtId="0" fontId="0" fillId="0" borderId="42" xfId="0" applyBorder="1" applyAlignment="1"/>
    <xf numFmtId="0" fontId="0" fillId="0" borderId="43" xfId="0" applyBorder="1" applyAlignment="1"/>
    <xf numFmtId="0" fontId="12" fillId="2" borderId="34" xfId="0" applyFont="1" applyFill="1" applyBorder="1" applyAlignment="1" applyProtection="1">
      <alignment horizontal="right" vertical="center"/>
      <protection hidden="1"/>
    </xf>
    <xf numFmtId="0" fontId="12" fillId="2" borderId="12" xfId="0" applyFont="1" applyFill="1" applyBorder="1" applyAlignment="1" applyProtection="1">
      <alignment horizontal="right" vertical="center"/>
      <protection hidden="1"/>
    </xf>
    <xf numFmtId="0" fontId="13" fillId="6" borderId="37" xfId="0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protection hidden="1"/>
    </xf>
    <xf numFmtId="0" fontId="14" fillId="3" borderId="41" xfId="0" applyFont="1" applyFill="1" applyBorder="1" applyAlignment="1"/>
    <xf numFmtId="0" fontId="0" fillId="0" borderId="44" xfId="0" applyBorder="1" applyAlignment="1"/>
    <xf numFmtId="0" fontId="0" fillId="0" borderId="39" xfId="0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hidden="1"/>
    </xf>
    <xf numFmtId="4" fontId="0" fillId="3" borderId="34" xfId="0" applyNumberFormat="1" applyFill="1" applyBorder="1" applyAlignment="1" applyProtection="1">
      <alignment horizontal="right"/>
      <protection hidden="1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14" fillId="3" borderId="6" xfId="0" applyFont="1" applyFill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center"/>
    </xf>
    <xf numFmtId="0" fontId="12" fillId="2" borderId="64" xfId="0" applyFont="1" applyFill="1" applyBorder="1" applyAlignment="1" applyProtection="1">
      <alignment horizontal="right" vertical="center"/>
      <protection hidden="1"/>
    </xf>
    <xf numFmtId="0" fontId="0" fillId="0" borderId="65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2" fillId="2" borderId="35" xfId="0" applyFont="1" applyFill="1" applyBorder="1" applyAlignment="1" applyProtection="1">
      <alignment horizontal="right" vertical="center"/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1" fillId="6" borderId="37" xfId="0" applyFont="1" applyFill="1" applyBorder="1" applyAlignment="1" applyProtection="1">
      <alignment horizontal="right"/>
      <protection hidden="1"/>
    </xf>
    <xf numFmtId="0" fontId="0" fillId="0" borderId="38" xfId="0" applyBorder="1" applyAlignment="1" applyProtection="1">
      <alignment horizontal="right"/>
      <protection hidden="1"/>
    </xf>
    <xf numFmtId="0" fontId="12" fillId="2" borderId="60" xfId="0" applyFont="1" applyFill="1" applyBorder="1" applyAlignment="1" applyProtection="1">
      <alignment horizontal="right" vertical="center"/>
      <protection hidden="1"/>
    </xf>
    <xf numFmtId="0" fontId="0" fillId="0" borderId="61" xfId="0" applyBorder="1" applyAlignment="1" applyProtection="1">
      <alignment horizontal="right" vertical="center"/>
      <protection hidden="1"/>
    </xf>
    <xf numFmtId="4" fontId="0" fillId="3" borderId="62" xfId="0" applyNumberFormat="1" applyFill="1" applyBorder="1" applyAlignment="1" applyProtection="1">
      <alignment horizontal="right"/>
      <protection hidden="1"/>
    </xf>
    <xf numFmtId="4" fontId="0" fillId="3" borderId="63" xfId="0" applyNumberFormat="1" applyFill="1" applyBorder="1" applyAlignment="1" applyProtection="1">
      <alignment horizontal="right"/>
      <protection hidden="1"/>
    </xf>
    <xf numFmtId="4" fontId="1" fillId="4" borderId="32" xfId="0" applyNumberFormat="1" applyFont="1" applyFill="1" applyBorder="1" applyAlignment="1" applyProtection="1">
      <alignment horizontal="right"/>
      <protection hidden="1"/>
    </xf>
    <xf numFmtId="4" fontId="1" fillId="4" borderId="33" xfId="0" applyNumberFormat="1" applyFont="1" applyFill="1" applyBorder="1" applyAlignment="1" applyProtection="1">
      <alignment horizontal="right"/>
      <protection hidden="1"/>
    </xf>
    <xf numFmtId="4" fontId="0" fillId="3" borderId="66" xfId="0" applyNumberFormat="1" applyFill="1" applyBorder="1" applyAlignment="1" applyProtection="1">
      <alignment horizontal="right"/>
      <protection hidden="1"/>
    </xf>
    <xf numFmtId="4" fontId="0" fillId="3" borderId="67" xfId="0" applyNumberForma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1" fontId="0" fillId="3" borderId="8" xfId="0" applyNumberFormat="1" applyFill="1" applyBorder="1" applyAlignment="1" applyProtection="1">
      <alignment horizontal="right"/>
      <protection hidden="1"/>
    </xf>
    <xf numFmtId="4" fontId="0" fillId="3" borderId="58" xfId="0" applyNumberFormat="1" applyFill="1" applyBorder="1" applyAlignment="1" applyProtection="1">
      <alignment horizontal="right"/>
      <protection hidden="1"/>
    </xf>
    <xf numFmtId="0" fontId="12" fillId="2" borderId="59" xfId="0" applyFont="1" applyFill="1" applyBorder="1" applyAlignment="1" applyProtection="1">
      <alignment horizontal="right" vertical="center"/>
      <protection hidden="1"/>
    </xf>
    <xf numFmtId="0" fontId="12" fillId="2" borderId="54" xfId="0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wrapText="1"/>
    </xf>
    <xf numFmtId="0" fontId="12" fillId="2" borderId="34" xfId="0" applyFont="1" applyFill="1" applyBorder="1" applyAlignment="1" applyProtection="1">
      <alignment horizontal="right" vertical="center"/>
      <protection locked="0" hidden="1"/>
    </xf>
    <xf numFmtId="0" fontId="12" fillId="2" borderId="12" xfId="0" applyFont="1" applyFill="1" applyBorder="1" applyAlignment="1" applyProtection="1">
      <alignment horizontal="right" vertical="center"/>
      <protection locked="0" hidden="1"/>
    </xf>
    <xf numFmtId="0" fontId="12" fillId="2" borderId="45" xfId="0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right" vertical="center"/>
      <protection locked="0" hidden="1"/>
    </xf>
    <xf numFmtId="4" fontId="0" fillId="4" borderId="35" xfId="0" applyNumberFormat="1" applyFill="1" applyBorder="1" applyAlignment="1" applyProtection="1">
      <alignment horizontal="right"/>
      <protection locked="0" hidden="1"/>
    </xf>
    <xf numFmtId="4" fontId="0" fillId="4" borderId="12" xfId="0" applyNumberFormat="1" applyFill="1" applyBorder="1" applyAlignment="1" applyProtection="1">
      <alignment horizontal="right"/>
      <protection locked="0" hidden="1"/>
    </xf>
    <xf numFmtId="0" fontId="1" fillId="6" borderId="37" xfId="0" applyFont="1" applyFill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4" fontId="0" fillId="4" borderId="35" xfId="0" applyNumberFormat="1" applyFill="1" applyBorder="1" applyAlignment="1" applyProtection="1">
      <alignment horizontal="right"/>
      <protection hidden="1"/>
    </xf>
    <xf numFmtId="4" fontId="0" fillId="4" borderId="12" xfId="0" applyNumberFormat="1" applyFill="1" applyBorder="1" applyAlignment="1" applyProtection="1">
      <alignment horizontal="right"/>
      <protection hidden="1"/>
    </xf>
  </cellXfs>
  <cellStyles count="1">
    <cellStyle name="Normální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28575</xdr:rowOff>
    </xdr:from>
    <xdr:to>
      <xdr:col>6</xdr:col>
      <xdr:colOff>359709</xdr:colOff>
      <xdr:row>3</xdr:row>
      <xdr:rowOff>175372</xdr:rowOff>
    </xdr:to>
    <xdr:pic>
      <xdr:nvPicPr>
        <xdr:cNvPr id="2" name="Picture 3" descr="logoCTep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228600"/>
          <a:ext cx="797859" cy="527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523875</xdr:colOff>
      <xdr:row>1</xdr:row>
      <xdr:rowOff>133350</xdr:rowOff>
    </xdr:from>
    <xdr:to>
      <xdr:col>30</xdr:col>
      <xdr:colOff>128057</xdr:colOff>
      <xdr:row>14</xdr:row>
      <xdr:rowOff>123825</xdr:rowOff>
    </xdr:to>
    <xdr:pic>
      <xdr:nvPicPr>
        <xdr:cNvPr id="2" name="Obrázek 3" descr="http://energetika.tzb-info.cz/docu/clanky/0082/008257o3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06975" y="390525"/>
          <a:ext cx="425767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0"/>
  <sheetViews>
    <sheetView tabSelected="1" zoomScale="90" zoomScaleNormal="90" workbookViewId="0">
      <selection activeCell="AP22" sqref="AP22"/>
    </sheetView>
  </sheetViews>
  <sheetFormatPr defaultRowHeight="15" x14ac:dyDescent="0.25"/>
  <cols>
    <col min="1" max="1" width="3.140625" customWidth="1"/>
    <col min="2" max="2" width="24.28515625" customWidth="1"/>
    <col min="3" max="4" width="15.42578125" customWidth="1"/>
    <col min="5" max="5" width="8.85546875" customWidth="1"/>
    <col min="6" max="6" width="7.5703125" customWidth="1"/>
    <col min="7" max="7" width="14.140625" customWidth="1"/>
    <col min="8" max="8" width="8.7109375" customWidth="1"/>
    <col min="9" max="9" width="6" customWidth="1"/>
    <col min="10" max="10" width="7.7109375" customWidth="1"/>
    <col min="16" max="19" width="13.7109375" hidden="1" customWidth="1"/>
    <col min="20" max="20" width="13.28515625" hidden="1" customWidth="1"/>
    <col min="21" max="21" width="6" hidden="1" customWidth="1"/>
    <col min="22" max="22" width="8" hidden="1" customWidth="1"/>
    <col min="23" max="23" width="56.42578125" hidden="1" customWidth="1"/>
    <col min="24" max="24" width="30.42578125" hidden="1" customWidth="1"/>
    <col min="25" max="25" width="34.7109375" hidden="1" customWidth="1"/>
    <col min="26" max="26" width="14.140625" hidden="1" customWidth="1"/>
    <col min="27" max="27" width="31.85546875" hidden="1" customWidth="1"/>
    <col min="28" max="28" width="15.7109375" hidden="1" customWidth="1"/>
    <col min="29" max="41" width="0" hidden="1" customWidth="1"/>
  </cols>
  <sheetData>
    <row r="1" spans="1:27" ht="15.75" thickBot="1" x14ac:dyDescent="0.3">
      <c r="T1" t="s">
        <v>23</v>
      </c>
      <c r="W1" t="s">
        <v>73</v>
      </c>
    </row>
    <row r="2" spans="1:27" x14ac:dyDescent="0.25">
      <c r="B2" s="52" t="s">
        <v>1</v>
      </c>
      <c r="C2" s="181" t="s">
        <v>163</v>
      </c>
      <c r="D2" s="182"/>
      <c r="T2" t="s">
        <v>57</v>
      </c>
      <c r="U2">
        <f>IF(C7="PREdistribuce",3,IF(C7="E.ON",2,1))</f>
        <v>1</v>
      </c>
      <c r="W2" t="s">
        <v>74</v>
      </c>
    </row>
    <row r="3" spans="1:27" x14ac:dyDescent="0.25">
      <c r="B3" s="53" t="s">
        <v>55</v>
      </c>
      <c r="C3" s="55" t="s">
        <v>73</v>
      </c>
      <c r="D3" s="56" t="s">
        <v>167</v>
      </c>
      <c r="T3" t="s">
        <v>25</v>
      </c>
      <c r="W3">
        <f>IF(C3="Kategorie D",1,2)</f>
        <v>1</v>
      </c>
    </row>
    <row r="4" spans="1:27" x14ac:dyDescent="0.25">
      <c r="B4" s="53" t="s">
        <v>53</v>
      </c>
      <c r="C4" s="183">
        <v>5.87</v>
      </c>
      <c r="D4" s="184"/>
      <c r="J4" s="2"/>
      <c r="T4" s="2"/>
    </row>
    <row r="5" spans="1:27" x14ac:dyDescent="0.25">
      <c r="B5" s="53" t="s">
        <v>54</v>
      </c>
      <c r="C5" s="183">
        <v>8</v>
      </c>
      <c r="D5" s="184"/>
      <c r="E5" s="4" t="str">
        <f>IF(OR(W28,W26),"**","")</f>
        <v/>
      </c>
      <c r="G5" s="54" t="s">
        <v>170</v>
      </c>
      <c r="J5" s="2"/>
      <c r="P5">
        <v>1</v>
      </c>
      <c r="T5" s="2" t="s">
        <v>58</v>
      </c>
      <c r="U5" t="s">
        <v>63</v>
      </c>
      <c r="V5" t="str">
        <f>IF($W$3=1,T5,U5)</f>
        <v>D 01d</v>
      </c>
      <c r="W5" s="40" t="s">
        <v>26</v>
      </c>
      <c r="X5" s="40" t="s">
        <v>26</v>
      </c>
      <c r="Y5" t="str">
        <f>IF($W$3=1,W5,X5)</f>
        <v>jistič do 3x10 A a do 1x25 A včetně</v>
      </c>
      <c r="AA5">
        <f>IF(OR(AND($C$14&lt;=10,$F$14=3),AND($C$14&lt;=25,$F$14=1)),1,0)</f>
        <v>0</v>
      </c>
    </row>
    <row r="6" spans="1:27" x14ac:dyDescent="0.25">
      <c r="B6" s="53" t="s">
        <v>99</v>
      </c>
      <c r="C6" s="185" t="str">
        <f ca="1">INDIRECT(ADDRESS(4+$AA$20,23))</f>
        <v>jistič nad 3x25 A do 3x32 A včetně</v>
      </c>
      <c r="D6" s="186"/>
      <c r="G6" t="str">
        <f>cenik!$C$2</f>
        <v>platne od 1.1.2020</v>
      </c>
      <c r="P6">
        <v>2</v>
      </c>
      <c r="T6" t="s">
        <v>59</v>
      </c>
      <c r="U6" t="s">
        <v>64</v>
      </c>
      <c r="V6" t="str">
        <f t="shared" ref="V6:V14" si="0">IF($W$3=1,T6,U6)</f>
        <v>D 02d</v>
      </c>
      <c r="W6" s="40" t="s">
        <v>27</v>
      </c>
      <c r="X6" s="40" t="s">
        <v>27</v>
      </c>
      <c r="Y6" t="str">
        <f t="shared" ref="Y6:Y14" si="1">IF($W$3=1,W6,X6)</f>
        <v>jistič nad 3x10 A do 3x16 A včetně</v>
      </c>
      <c r="AA6">
        <f>IF(AND($C$14&gt;10,$C$14&lt;=16,$F$14=3),1,0)</f>
        <v>0</v>
      </c>
    </row>
    <row r="7" spans="1:27" x14ac:dyDescent="0.25">
      <c r="B7" s="53" t="s">
        <v>56</v>
      </c>
      <c r="C7" s="176" t="s">
        <v>25</v>
      </c>
      <c r="D7" s="176"/>
      <c r="F7" s="164" t="s">
        <v>148</v>
      </c>
      <c r="G7" s="165"/>
      <c r="P7">
        <v>3</v>
      </c>
      <c r="T7" t="s">
        <v>72</v>
      </c>
      <c r="U7" t="s">
        <v>65</v>
      </c>
      <c r="V7" t="str">
        <f t="shared" si="0"/>
        <v>D 25d</v>
      </c>
      <c r="W7" s="40" t="s">
        <v>28</v>
      </c>
      <c r="X7" s="40" t="s">
        <v>28</v>
      </c>
      <c r="Y7" t="str">
        <f t="shared" si="1"/>
        <v>jistič nad 3x16 A do 3x20 A včetně</v>
      </c>
      <c r="AA7">
        <f>IF(AND($C$14&gt;16,$C$14&lt;=20,$F$14=3),1,0)</f>
        <v>0</v>
      </c>
    </row>
    <row r="8" spans="1:27" hidden="1" x14ac:dyDescent="0.25">
      <c r="B8" s="53" t="s">
        <v>103</v>
      </c>
      <c r="C8" s="176"/>
      <c r="D8" s="176"/>
      <c r="F8" s="164"/>
      <c r="G8" s="165"/>
      <c r="P8">
        <v>4</v>
      </c>
      <c r="T8" t="s">
        <v>60</v>
      </c>
      <c r="U8" t="s">
        <v>66</v>
      </c>
      <c r="V8" t="str">
        <f t="shared" si="0"/>
        <v>D 26d</v>
      </c>
      <c r="W8" s="40" t="s">
        <v>29</v>
      </c>
      <c r="X8" s="40" t="s">
        <v>29</v>
      </c>
      <c r="Y8" t="str">
        <f t="shared" si="1"/>
        <v>jistič nad 3x20 A do 3x25 A včetně</v>
      </c>
      <c r="AA8">
        <f>IF(AND($C$14&gt;20,$C$14&lt;=25,$F$14=3),1,0)</f>
        <v>0</v>
      </c>
    </row>
    <row r="9" spans="1:27" ht="15.75" thickBot="1" x14ac:dyDescent="0.3">
      <c r="B9" s="62" t="s">
        <v>107</v>
      </c>
      <c r="C9" s="177" t="s">
        <v>109</v>
      </c>
      <c r="D9" s="178"/>
      <c r="P9">
        <v>5</v>
      </c>
      <c r="T9" t="s">
        <v>167</v>
      </c>
      <c r="U9" t="s">
        <v>71</v>
      </c>
      <c r="V9" t="str">
        <f t="shared" si="0"/>
        <v>D 27d</v>
      </c>
      <c r="W9" s="40" t="s">
        <v>30</v>
      </c>
      <c r="X9" s="40" t="s">
        <v>30</v>
      </c>
      <c r="Y9" t="str">
        <f t="shared" si="1"/>
        <v>jistič nad 3x25 A do 3x32 A včetně</v>
      </c>
      <c r="AA9">
        <f>IF(AND($C$14&gt;25,$C$14&lt;=32,$F$14=3),1,0)</f>
        <v>1</v>
      </c>
    </row>
    <row r="10" spans="1:27" x14ac:dyDescent="0.25">
      <c r="B10" s="166" t="s">
        <v>112</v>
      </c>
      <c r="C10" s="167"/>
      <c r="D10" s="60">
        <v>1550</v>
      </c>
      <c r="P10">
        <v>6</v>
      </c>
      <c r="T10" t="s">
        <v>136</v>
      </c>
      <c r="U10" t="s">
        <v>67</v>
      </c>
      <c r="V10" t="str">
        <f t="shared" si="0"/>
        <v>D 35d</v>
      </c>
      <c r="W10" s="40" t="s">
        <v>31</v>
      </c>
      <c r="X10" s="40" t="s">
        <v>31</v>
      </c>
      <c r="Y10" t="str">
        <f t="shared" si="1"/>
        <v>jistič nad 3x32 A do 3x40 A včetně</v>
      </c>
      <c r="AA10">
        <f>IF(AND($C$14&gt;32,$C$14&lt;=40,$F$14=3),1,0)</f>
        <v>0</v>
      </c>
    </row>
    <row r="11" spans="1:27" x14ac:dyDescent="0.25">
      <c r="A11" s="1"/>
      <c r="B11" s="166" t="s">
        <v>113</v>
      </c>
      <c r="C11" s="168"/>
      <c r="D11" s="60">
        <v>1450</v>
      </c>
      <c r="E11" s="4" t="str">
        <f>IF(OR(X28,X26),"**","")</f>
        <v/>
      </c>
      <c r="P11">
        <v>7</v>
      </c>
      <c r="T11" t="s">
        <v>61</v>
      </c>
      <c r="U11" t="s">
        <v>68</v>
      </c>
      <c r="V11" t="str">
        <f t="shared" si="0"/>
        <v>D 45d</v>
      </c>
      <c r="W11" s="40" t="s">
        <v>32</v>
      </c>
      <c r="X11" s="40" t="s">
        <v>32</v>
      </c>
      <c r="Y11" t="str">
        <f t="shared" si="1"/>
        <v>jistič nad 3x40 A do 3x50 A včetně</v>
      </c>
      <c r="AA11">
        <f>IF(AND($C$14&gt;40,$C$14&lt;=50,$F$14=3),1,0)</f>
        <v>0</v>
      </c>
    </row>
    <row r="12" spans="1:27" ht="15.75" thickBot="1" x14ac:dyDescent="0.3">
      <c r="A12" s="1" t="s">
        <v>0</v>
      </c>
      <c r="B12" s="173" t="s">
        <v>114</v>
      </c>
      <c r="C12" s="174"/>
      <c r="D12" s="61">
        <v>45</v>
      </c>
      <c r="P12">
        <v>8</v>
      </c>
      <c r="T12" t="s">
        <v>62</v>
      </c>
      <c r="U12" t="s">
        <v>139</v>
      </c>
      <c r="V12" t="str">
        <f t="shared" si="0"/>
        <v>D 56d</v>
      </c>
      <c r="W12" s="40" t="s">
        <v>33</v>
      </c>
      <c r="X12" s="40" t="s">
        <v>33</v>
      </c>
      <c r="Y12" t="str">
        <f t="shared" si="1"/>
        <v>jistič nad 3x50 A do 3x63 A včetně</v>
      </c>
      <c r="AA12">
        <f>IF(AND($C$14&gt;50,$C$14&lt;=63,$F$14=3),1,0)</f>
        <v>0</v>
      </c>
    </row>
    <row r="13" spans="1:27" ht="15.75" thickBot="1" x14ac:dyDescent="0.3">
      <c r="A13" s="1"/>
      <c r="B13" s="175" t="str">
        <f>IF(W32=0,"",W32)</f>
        <v/>
      </c>
      <c r="C13" s="175"/>
      <c r="D13" s="175"/>
      <c r="P13">
        <v>9</v>
      </c>
      <c r="T13" t="s">
        <v>138</v>
      </c>
      <c r="U13" t="s">
        <v>69</v>
      </c>
      <c r="V13" t="str">
        <f t="shared" si="0"/>
        <v>D 57d</v>
      </c>
      <c r="W13" s="40" t="s">
        <v>34</v>
      </c>
      <c r="X13" s="40" t="s">
        <v>34</v>
      </c>
      <c r="Y13" t="str">
        <f t="shared" si="1"/>
        <v>jistič nad 3x63 A do 3x80 A včetně</v>
      </c>
      <c r="AA13">
        <f>IF(AND($C$14&gt;63,$C$14&lt;=80,$F$14=3,OR($W$3=2,$T$18=8)),1,0)</f>
        <v>0</v>
      </c>
    </row>
    <row r="14" spans="1:27" ht="15.75" thickBot="1" x14ac:dyDescent="0.3">
      <c r="A14" s="1"/>
      <c r="B14" s="154" t="s">
        <v>110</v>
      </c>
      <c r="C14" s="156">
        <v>32</v>
      </c>
      <c r="E14" s="154" t="s">
        <v>150</v>
      </c>
      <c r="F14" s="155">
        <v>3</v>
      </c>
      <c r="P14">
        <v>10</v>
      </c>
      <c r="T14" t="s">
        <v>0</v>
      </c>
      <c r="U14" t="s">
        <v>70</v>
      </c>
      <c r="V14" t="str">
        <f t="shared" si="0"/>
        <v xml:space="preserve"> </v>
      </c>
      <c r="W14" s="40" t="s">
        <v>35</v>
      </c>
      <c r="X14" s="40" t="s">
        <v>35</v>
      </c>
      <c r="Y14" t="str">
        <f t="shared" si="1"/>
        <v>jistič nad 3x80 A do 3x100 A včetně</v>
      </c>
      <c r="AA14">
        <f>IF(AND($C$14&gt;80,$C$14&lt;=100,$F$14=3,OR($W$3=2,$T$18=8)),1,0)</f>
        <v>0</v>
      </c>
    </row>
    <row r="15" spans="1:27" ht="15.75" thickBot="1" x14ac:dyDescent="0.3">
      <c r="A15" s="1"/>
      <c r="C15" s="49"/>
      <c r="D15" s="57"/>
      <c r="E15" s="57"/>
      <c r="F15" s="58"/>
      <c r="T15">
        <f>IFERROR(MATCH($D$3,T$5:T$13,0),0)</f>
        <v>5</v>
      </c>
      <c r="U15">
        <f>IFERROR(MATCH($D$3,U$5:U$14,0),0)</f>
        <v>0</v>
      </c>
      <c r="W15" s="40" t="s">
        <v>36</v>
      </c>
      <c r="X15" s="40" t="s">
        <v>36</v>
      </c>
      <c r="Y15" t="str">
        <f>IF($W$3=1,W15,X15)</f>
        <v>jistič nad 3x100 A do 3x125 A včetně</v>
      </c>
      <c r="AA15">
        <f>IF(AND($C$14&gt;100,$C$14&lt;=125,$F$14=3,OR($W$3=2,$T$18=8)),1,0)</f>
        <v>0</v>
      </c>
    </row>
    <row r="16" spans="1:27" ht="15.75" thickBot="1" x14ac:dyDescent="0.3">
      <c r="A16" s="1"/>
      <c r="B16" s="63" t="s">
        <v>89</v>
      </c>
      <c r="C16" s="58"/>
      <c r="D16" s="64" t="s">
        <v>92</v>
      </c>
      <c r="E16" s="171" t="s">
        <v>90</v>
      </c>
      <c r="F16" s="172"/>
      <c r="G16" s="51" t="s">
        <v>131</v>
      </c>
      <c r="W16" s="40" t="s">
        <v>37</v>
      </c>
      <c r="X16" s="40" t="s">
        <v>37</v>
      </c>
      <c r="Y16" t="str">
        <f>IF($W$3=1,W16,X16)</f>
        <v>jistič nad 3x125 A do 3x160 A včetně</v>
      </c>
      <c r="AA16">
        <f>IF(AND($C$14&gt;125,$C$14&lt;=160,$F$14=3,OR($W$3=2,$T$18=8)),1,0)</f>
        <v>0</v>
      </c>
    </row>
    <row r="17" spans="1:28" x14ac:dyDescent="0.25">
      <c r="A17" s="1"/>
      <c r="B17" s="169" t="s">
        <v>101</v>
      </c>
      <c r="C17" s="170"/>
      <c r="D17" s="157">
        <f ca="1">cenik!$B$100</f>
        <v>1438</v>
      </c>
      <c r="E17" s="179">
        <f ca="1">$C$4*cenik!$B$100</f>
        <v>8441.06</v>
      </c>
      <c r="F17" s="180"/>
      <c r="G17" s="66">
        <v>0</v>
      </c>
      <c r="H17" t="s">
        <v>132</v>
      </c>
      <c r="W17" s="40" t="s">
        <v>52</v>
      </c>
      <c r="X17" s="40" t="s">
        <v>38</v>
      </c>
      <c r="Y17" t="str">
        <f>IF($W$3=1,W17,X17)</f>
        <v>jistič nad 3x63 A za každou 1A</v>
      </c>
      <c r="AA17">
        <f>IF(AND($T$18&lt;&gt;8,$C$14&gt;63,$F$14=3,$W$3=1),1,0)</f>
        <v>0</v>
      </c>
      <c r="AB17" t="s">
        <v>155</v>
      </c>
    </row>
    <row r="18" spans="1:28" ht="15.75" thickBot="1" x14ac:dyDescent="0.3">
      <c r="A18" s="1"/>
      <c r="B18" s="169" t="s">
        <v>102</v>
      </c>
      <c r="C18" s="170"/>
      <c r="D18" s="157">
        <f ca="1">cenik!$C$100</f>
        <v>1438</v>
      </c>
      <c r="E18" s="179">
        <f ca="1">IF(V26=1,$C$5*cenik!$C$100,0)</f>
        <v>11504</v>
      </c>
      <c r="F18" s="180"/>
      <c r="G18" s="67">
        <v>0</v>
      </c>
      <c r="H18" t="s">
        <v>132</v>
      </c>
      <c r="T18">
        <f>IFERROR(MATCH($D$3,T$5:T$11,0),0)</f>
        <v>5</v>
      </c>
      <c r="U18">
        <f>IFERROR(MATCH($D$3,U$5:U$14,0),0)</f>
        <v>0</v>
      </c>
      <c r="W18" s="40" t="s">
        <v>39</v>
      </c>
      <c r="X18" s="40" t="s">
        <v>39</v>
      </c>
      <c r="Y18" t="str">
        <f>IF($W$3=1,W18,X18)</f>
        <v>jistič nad 1x25 A za každou 1 A</v>
      </c>
      <c r="AA18">
        <f>IF(AND($C$14&gt;25,$F$14=1),1,0)</f>
        <v>0</v>
      </c>
      <c r="AB18" t="s">
        <v>154</v>
      </c>
    </row>
    <row r="19" spans="1:28" x14ac:dyDescent="0.25">
      <c r="A19" s="1"/>
      <c r="B19" s="169" t="s">
        <v>96</v>
      </c>
      <c r="C19" s="207"/>
      <c r="D19" s="158">
        <f ca="1">cenik!$B$101</f>
        <v>0</v>
      </c>
      <c r="E19" s="203">
        <f ca="1">cenik!$B$101*12</f>
        <v>0</v>
      </c>
      <c r="F19" s="203"/>
      <c r="W19" s="40" t="s">
        <v>38</v>
      </c>
      <c r="Y19" t="str">
        <f>IF($W$3=1,W19,"")</f>
        <v>jistič nad 3x160 A za každou 1 A</v>
      </c>
      <c r="AA19">
        <f>IF(AND($F$14=3,$C$14&gt;160,OR($T$18=8,$W$3=2)),1,0)</f>
        <v>0</v>
      </c>
      <c r="AB19" t="s">
        <v>156</v>
      </c>
    </row>
    <row r="20" spans="1:28" ht="15.75" thickBot="1" x14ac:dyDescent="0.3">
      <c r="A20" s="1"/>
      <c r="B20" s="58"/>
      <c r="C20" s="58"/>
      <c r="D20" s="58"/>
      <c r="E20" s="58"/>
      <c r="F20" s="58"/>
      <c r="W20">
        <f ca="1">IFERROR(MATCH($C$6,W$5:W$18,0),0)</f>
        <v>5</v>
      </c>
      <c r="X20">
        <f ca="1">IFERROR(MATCH($C$6,X$5:X$18,0),0)</f>
        <v>5</v>
      </c>
      <c r="AA20">
        <f>IFERROR(MATCH(1,AA$5:AA$19,0),0)</f>
        <v>5</v>
      </c>
    </row>
    <row r="21" spans="1:28" ht="15.75" thickBot="1" x14ac:dyDescent="0.3">
      <c r="A21" s="1"/>
      <c r="B21" s="63" t="s">
        <v>100</v>
      </c>
      <c r="C21" s="57"/>
      <c r="D21" s="57"/>
      <c r="E21" s="57"/>
      <c r="F21" s="58"/>
      <c r="V21" t="s">
        <v>157</v>
      </c>
      <c r="W21">
        <f>IF(OR(AA17=1,AA18=1,AA19=1),1,0)</f>
        <v>0</v>
      </c>
    </row>
    <row r="22" spans="1:28" x14ac:dyDescent="0.25">
      <c r="A22" s="1"/>
      <c r="B22" s="190" t="s">
        <v>93</v>
      </c>
      <c r="C22" s="170"/>
      <c r="D22" s="159">
        <f ca="1">IF(W21=0,cenik!$B$125,cenik!$B$125*C14)</f>
        <v>174</v>
      </c>
      <c r="E22" s="191">
        <f ca="1">IF(W21=0,cenik!$B$125*12,D22*12)</f>
        <v>2088</v>
      </c>
      <c r="F22" s="191"/>
      <c r="G22">
        <f ca="1">cenik!$B$125</f>
        <v>174</v>
      </c>
      <c r="H22" s="5"/>
      <c r="I22" s="5"/>
      <c r="J22" s="5"/>
      <c r="K22" s="5"/>
      <c r="T22" t="s">
        <v>109</v>
      </c>
      <c r="U22">
        <f>IF(C9="ANO",1,2)</f>
        <v>1</v>
      </c>
      <c r="V22">
        <f ca="1">cenik!$B$125</f>
        <v>174</v>
      </c>
    </row>
    <row r="23" spans="1:28" x14ac:dyDescent="0.25">
      <c r="B23" s="190" t="s">
        <v>94</v>
      </c>
      <c r="C23" s="170"/>
      <c r="D23" s="159">
        <f ca="1">cenik!$B$118</f>
        <v>1848.51</v>
      </c>
      <c r="E23" s="191">
        <f ca="1">cenik!$B$118*$C$4</f>
        <v>10850.753699999999</v>
      </c>
      <c r="F23" s="191"/>
      <c r="G23" s="5"/>
      <c r="H23" s="5"/>
      <c r="I23" s="5"/>
      <c r="J23" s="5"/>
      <c r="K23" s="5"/>
      <c r="T23" t="s">
        <v>108</v>
      </c>
    </row>
    <row r="24" spans="1:28" x14ac:dyDescent="0.25">
      <c r="B24" s="190" t="s">
        <v>95</v>
      </c>
      <c r="C24" s="170"/>
      <c r="D24" s="159">
        <f ca="1">cenik!$B$119</f>
        <v>134.56</v>
      </c>
      <c r="E24" s="191">
        <f ca="1">cenik!$B$119*$C$5</f>
        <v>1076.48</v>
      </c>
      <c r="F24" s="191"/>
      <c r="G24" s="5"/>
      <c r="H24" s="5"/>
      <c r="I24" s="5"/>
      <c r="J24" s="5"/>
      <c r="K24" s="5"/>
      <c r="N24" s="6"/>
      <c r="T24" t="s">
        <v>149</v>
      </c>
    </row>
    <row r="25" spans="1:28" ht="15.75" thickBot="1" x14ac:dyDescent="0.3">
      <c r="B25" s="205" t="s">
        <v>98</v>
      </c>
      <c r="C25" s="206"/>
      <c r="D25" s="160">
        <f ca="1">cenik!$B$120</f>
        <v>77.12</v>
      </c>
      <c r="E25" s="204">
        <f ca="1">cenik!$B$120*($C$4+$C$5)</f>
        <v>1069.6544000000001</v>
      </c>
      <c r="F25" s="204"/>
      <c r="G25" s="5"/>
      <c r="H25" s="5"/>
      <c r="I25" s="5"/>
      <c r="J25" s="5"/>
      <c r="K25" s="5"/>
      <c r="N25" s="6"/>
      <c r="T25">
        <v>1</v>
      </c>
      <c r="V25" t="s">
        <v>120</v>
      </c>
      <c r="W25" t="s">
        <v>121</v>
      </c>
      <c r="X25" t="s">
        <v>122</v>
      </c>
      <c r="Y25" t="s">
        <v>153</v>
      </c>
    </row>
    <row r="26" spans="1:28" ht="15.75" thickBot="1" x14ac:dyDescent="0.3">
      <c r="B26" s="194" t="s">
        <v>97</v>
      </c>
      <c r="C26" s="195"/>
      <c r="D26" s="161">
        <f ca="1">cenik!$B$121</f>
        <v>495</v>
      </c>
      <c r="E26" s="196">
        <f ca="1">cenik!$B$121*($C$4+$C$5)</f>
        <v>6865.6500000000005</v>
      </c>
      <c r="F26" s="197"/>
      <c r="G26" s="5" t="s">
        <v>158</v>
      </c>
      <c r="H26" s="5"/>
      <c r="I26" s="5"/>
      <c r="J26" s="5"/>
      <c r="K26" s="5"/>
      <c r="N26" s="6"/>
      <c r="T26">
        <v>3</v>
      </c>
      <c r="V26">
        <f>IF(OR(T15=1,T15=2,U15=1,U15=2,U15=3),0,1)</f>
        <v>1</v>
      </c>
      <c r="W26" t="b">
        <f>AND(C5&lt;&gt;0,V26=0)</f>
        <v>0</v>
      </c>
      <c r="X26" t="b">
        <f>AND(D11&lt;&gt;0,V26=0)</f>
        <v>0</v>
      </c>
      <c r="Y26">
        <f>IF(AND($T$18&lt;&gt;8,$C$14&gt;63,$F$14=3,$W$3=1),1,0)</f>
        <v>0</v>
      </c>
    </row>
    <row r="27" spans="1:28" ht="15.75" thickBot="1" x14ac:dyDescent="0.3">
      <c r="B27" s="187" t="s">
        <v>159</v>
      </c>
      <c r="C27" s="188"/>
      <c r="D27" s="162">
        <f ca="1">cenik!$B$122</f>
        <v>13.27</v>
      </c>
      <c r="E27" s="200">
        <f ca="1">D27*F14*C14*12</f>
        <v>15287.04</v>
      </c>
      <c r="F27" s="201"/>
      <c r="G27" s="163">
        <f ca="1">IF(E26&lt;E27,E26,E27)</f>
        <v>6865.6500000000005</v>
      </c>
      <c r="H27" s="5"/>
      <c r="I27" s="7"/>
      <c r="J27" s="5"/>
      <c r="K27" s="5"/>
      <c r="N27" s="6"/>
      <c r="T27" s="3"/>
      <c r="W27" t="s">
        <v>123</v>
      </c>
      <c r="X27" t="s">
        <v>124</v>
      </c>
      <c r="Y27" t="s">
        <v>152</v>
      </c>
    </row>
    <row r="28" spans="1:28" x14ac:dyDescent="0.25">
      <c r="B28" s="169" t="s">
        <v>164</v>
      </c>
      <c r="C28" s="189"/>
      <c r="D28" s="157">
        <f ca="1">cenik!$B$123</f>
        <v>5.08</v>
      </c>
      <c r="E28" s="179">
        <f ca="1">cenik!$B$123*(12)</f>
        <v>60.96</v>
      </c>
      <c r="F28" s="179"/>
      <c r="G28" s="5"/>
      <c r="H28" s="5"/>
      <c r="I28" s="8"/>
      <c r="J28" s="5"/>
      <c r="K28" s="5"/>
      <c r="N28" s="6"/>
      <c r="T28" s="3"/>
      <c r="W28" t="b">
        <f>AND(C5=0,V26=1)</f>
        <v>0</v>
      </c>
      <c r="X28" t="b">
        <f>AND(D11=0,V26=1)</f>
        <v>0</v>
      </c>
      <c r="Y28">
        <f>IF(AND($C$14&gt;25,$F$14=1),1,0)</f>
        <v>0</v>
      </c>
    </row>
    <row r="29" spans="1:28" x14ac:dyDescent="0.25">
      <c r="B29" s="190" t="s">
        <v>106</v>
      </c>
      <c r="C29" s="202"/>
      <c r="D29" s="159">
        <f>28.3</f>
        <v>28.3</v>
      </c>
      <c r="E29" s="191">
        <f>IF($U$22=1,($D$29*($C$4+$C$5)),0)</f>
        <v>392.52100000000002</v>
      </c>
      <c r="F29" s="191"/>
      <c r="G29" s="5"/>
      <c r="H29" s="5"/>
      <c r="I29" s="8"/>
      <c r="J29" s="5"/>
      <c r="K29" s="5"/>
      <c r="Y29" t="s">
        <v>151</v>
      </c>
    </row>
    <row r="30" spans="1:28" s="5" customFormat="1" ht="15.75" thickBot="1" x14ac:dyDescent="0.3">
      <c r="B30" s="65"/>
      <c r="C30" s="65"/>
      <c r="D30" s="65"/>
      <c r="E30" s="65"/>
      <c r="F30" s="65"/>
      <c r="I30" s="8"/>
      <c r="L30"/>
      <c r="M30"/>
      <c r="N30"/>
      <c r="W30" s="5">
        <f>IF(OR(W26,W28),1,0)</f>
        <v>0</v>
      </c>
      <c r="Y30">
        <f>IF(AND($T$18=8,$C$14&gt;180,$F$14=3),1,0)</f>
        <v>0</v>
      </c>
    </row>
    <row r="31" spans="1:28" ht="15.75" thickBot="1" x14ac:dyDescent="0.3">
      <c r="B31" s="192" t="s">
        <v>105</v>
      </c>
      <c r="C31" s="193"/>
      <c r="D31" s="58"/>
      <c r="E31" s="198">
        <f ca="1">(E17+E18+E19+E22+E23+E24+E25+G27+E28+E29)</f>
        <v>42349.079100000003</v>
      </c>
      <c r="F31" s="199"/>
      <c r="G31" s="5"/>
      <c r="H31" s="5"/>
      <c r="I31" s="8"/>
      <c r="J31" s="5"/>
      <c r="K31" s="5"/>
      <c r="T31" s="3"/>
    </row>
    <row r="32" spans="1:28" ht="15.75" thickBot="1" x14ac:dyDescent="0.3">
      <c r="B32" s="58"/>
      <c r="C32" s="58"/>
      <c r="D32" s="58"/>
      <c r="E32" s="58"/>
      <c r="F32" s="58"/>
      <c r="G32" s="5"/>
      <c r="H32" s="5"/>
      <c r="I32" s="5"/>
      <c r="J32" s="5"/>
      <c r="K32" s="5"/>
      <c r="W32">
        <f>IF(V26,IF(AND(W28,X28),W34,IF(W28,W36,IF(X28,W35,0))),IF(AND(W26,X26),W37,IF(W26,W39,IF(X26,W38,0))))</f>
        <v>0</v>
      </c>
    </row>
    <row r="33" spans="2:23" ht="15.75" thickBot="1" x14ac:dyDescent="0.3">
      <c r="B33" s="192" t="s">
        <v>104</v>
      </c>
      <c r="C33" s="193"/>
      <c r="D33" s="58"/>
      <c r="E33" s="198">
        <f ca="1">E31*1.21</f>
        <v>51242.385711000003</v>
      </c>
      <c r="F33" s="199"/>
      <c r="G33" s="5"/>
      <c r="H33" s="5"/>
      <c r="I33" s="5"/>
      <c r="J33" s="5"/>
      <c r="K33" s="5"/>
      <c r="P33" s="5"/>
      <c r="Q33" s="5"/>
      <c r="R33" s="5"/>
      <c r="S33" s="5"/>
    </row>
    <row r="34" spans="2:23" ht="15.75" thickBot="1" x14ac:dyDescent="0.3">
      <c r="B34" s="58"/>
      <c r="C34" s="58"/>
      <c r="D34" s="58"/>
      <c r="E34" s="58"/>
      <c r="F34" s="58"/>
      <c r="T34" s="3"/>
      <c r="V34">
        <v>1</v>
      </c>
      <c r="W34" t="s">
        <v>130</v>
      </c>
    </row>
    <row r="35" spans="2:23" ht="15.75" thickBot="1" x14ac:dyDescent="0.3">
      <c r="B35" s="192" t="s">
        <v>111</v>
      </c>
      <c r="C35" s="193"/>
      <c r="D35" s="58"/>
      <c r="E35" s="198">
        <f ca="1">ROUND(($E$33/12),-2)</f>
        <v>4300</v>
      </c>
      <c r="F35" s="199"/>
      <c r="G35" t="s">
        <v>133</v>
      </c>
      <c r="H35" s="109"/>
      <c r="V35">
        <v>2</v>
      </c>
      <c r="W35" t="s">
        <v>129</v>
      </c>
    </row>
    <row r="36" spans="2:23" ht="15.75" thickBot="1" x14ac:dyDescent="0.3">
      <c r="B36" s="58"/>
      <c r="C36" s="58"/>
      <c r="D36" s="58"/>
      <c r="E36" s="58"/>
      <c r="F36" s="58"/>
      <c r="P36" s="5"/>
      <c r="Q36" s="5"/>
      <c r="R36" s="5"/>
      <c r="S36" s="5"/>
      <c r="V36">
        <v>3</v>
      </c>
      <c r="W36" t="s">
        <v>128</v>
      </c>
    </row>
    <row r="37" spans="2:23" s="59" customFormat="1" ht="16.5" thickBot="1" x14ac:dyDescent="0.3">
      <c r="B37" s="68" t="s">
        <v>118</v>
      </c>
      <c r="C37" s="69"/>
      <c r="D37" s="70"/>
      <c r="E37" s="70"/>
      <c r="F37" s="70"/>
      <c r="T37" s="71"/>
      <c r="V37" s="59">
        <v>4</v>
      </c>
      <c r="W37" s="59" t="s">
        <v>127</v>
      </c>
    </row>
    <row r="38" spans="2:23" s="59" customFormat="1" x14ac:dyDescent="0.25">
      <c r="B38" s="211" t="s">
        <v>115</v>
      </c>
      <c r="C38" s="212"/>
      <c r="D38" s="70"/>
      <c r="E38" s="213">
        <f ca="1">(D10*C4) - E17</f>
        <v>657.44000000000051</v>
      </c>
      <c r="F38" s="214"/>
      <c r="V38" s="59">
        <v>5</v>
      </c>
      <c r="W38" s="59" t="s">
        <v>126</v>
      </c>
    </row>
    <row r="39" spans="2:23" s="59" customFormat="1" x14ac:dyDescent="0.25">
      <c r="B39" s="209" t="s">
        <v>116</v>
      </c>
      <c r="C39" s="210"/>
      <c r="D39" s="70"/>
      <c r="E39" s="213">
        <f ca="1">IF(V26=1,(D11*C5)-E18,0)</f>
        <v>96</v>
      </c>
      <c r="F39" s="214"/>
      <c r="G39" s="72"/>
      <c r="V39" s="59">
        <v>6</v>
      </c>
      <c r="W39" s="59" t="s">
        <v>125</v>
      </c>
    </row>
    <row r="40" spans="2:23" s="59" customFormat="1" x14ac:dyDescent="0.25">
      <c r="B40" s="209" t="s">
        <v>117</v>
      </c>
      <c r="C40" s="210"/>
      <c r="D40" s="73"/>
      <c r="E40" s="213">
        <f ca="1">(D12*12)-E19</f>
        <v>540</v>
      </c>
      <c r="F40" s="214"/>
      <c r="G40" s="72"/>
    </row>
    <row r="41" spans="2:23" ht="15.75" thickBot="1" x14ac:dyDescent="0.3">
      <c r="B41" s="58"/>
      <c r="C41" s="58"/>
      <c r="D41" s="58"/>
      <c r="E41" s="58"/>
      <c r="F41" s="58"/>
      <c r="G41" s="6"/>
    </row>
    <row r="42" spans="2:23" ht="15.75" thickBot="1" x14ac:dyDescent="0.3">
      <c r="B42" s="215" t="s">
        <v>119</v>
      </c>
      <c r="C42" s="216"/>
      <c r="D42" s="58"/>
      <c r="E42" s="217">
        <f ca="1">(E38+E39+E40)*1.21</f>
        <v>1565.0624000000005</v>
      </c>
      <c r="F42" s="218"/>
      <c r="G42" s="6"/>
    </row>
    <row r="43" spans="2:23" x14ac:dyDescent="0.25">
      <c r="G43" s="6"/>
    </row>
    <row r="44" spans="2:23" x14ac:dyDescent="0.25">
      <c r="B44" t="s">
        <v>160</v>
      </c>
      <c r="G44" s="6"/>
    </row>
    <row r="45" spans="2:23" x14ac:dyDescent="0.25">
      <c r="B45" t="s">
        <v>161</v>
      </c>
      <c r="G45" s="6"/>
    </row>
    <row r="46" spans="2:23" ht="29.25" customHeight="1" x14ac:dyDescent="0.25">
      <c r="B46" s="208" t="s">
        <v>162</v>
      </c>
      <c r="C46" s="208"/>
      <c r="D46" s="208"/>
      <c r="E46" s="208"/>
      <c r="F46" s="208"/>
    </row>
    <row r="100" spans="27:27" x14ac:dyDescent="0.25">
      <c r="AA100" s="9" t="s">
        <v>2</v>
      </c>
    </row>
  </sheetData>
  <mergeCells count="51">
    <mergeCell ref="B46:F46"/>
    <mergeCell ref="B40:C40"/>
    <mergeCell ref="B38:C38"/>
    <mergeCell ref="E38:F38"/>
    <mergeCell ref="E40:F40"/>
    <mergeCell ref="B42:C42"/>
    <mergeCell ref="E42:F42"/>
    <mergeCell ref="B39:C39"/>
    <mergeCell ref="E39:F39"/>
    <mergeCell ref="E18:F18"/>
    <mergeCell ref="E19:F19"/>
    <mergeCell ref="E25:F25"/>
    <mergeCell ref="B25:C25"/>
    <mergeCell ref="E24:F24"/>
    <mergeCell ref="B24:C24"/>
    <mergeCell ref="E22:F22"/>
    <mergeCell ref="B18:C18"/>
    <mergeCell ref="B19:C19"/>
    <mergeCell ref="B22:C22"/>
    <mergeCell ref="B27:C27"/>
    <mergeCell ref="B28:C28"/>
    <mergeCell ref="B23:C23"/>
    <mergeCell ref="E23:F23"/>
    <mergeCell ref="B35:C35"/>
    <mergeCell ref="B26:C26"/>
    <mergeCell ref="E26:F26"/>
    <mergeCell ref="E35:F35"/>
    <mergeCell ref="E33:F33"/>
    <mergeCell ref="E27:F27"/>
    <mergeCell ref="E28:F28"/>
    <mergeCell ref="B31:C31"/>
    <mergeCell ref="E31:F31"/>
    <mergeCell ref="B33:C33"/>
    <mergeCell ref="B29:C29"/>
    <mergeCell ref="E29:F29"/>
    <mergeCell ref="C2:D2"/>
    <mergeCell ref="C5:D5"/>
    <mergeCell ref="C6:D6"/>
    <mergeCell ref="C7:D7"/>
    <mergeCell ref="C4:D4"/>
    <mergeCell ref="F7:G7"/>
    <mergeCell ref="F8:G8"/>
    <mergeCell ref="B10:C10"/>
    <mergeCell ref="B11:C11"/>
    <mergeCell ref="B17:C17"/>
    <mergeCell ref="E16:F16"/>
    <mergeCell ref="B12:C12"/>
    <mergeCell ref="B13:D13"/>
    <mergeCell ref="C8:D8"/>
    <mergeCell ref="C9:D9"/>
    <mergeCell ref="E17:F17"/>
  </mergeCells>
  <conditionalFormatting sqref="J12:J24 K12:L23 O21:Q24 W19:X19 T16:V20 U5:U14 T10:T13">
    <cfRule type="expression" dxfId="46" priority="127">
      <formula>"L18=1"</formula>
    </cfRule>
  </conditionalFormatting>
  <conditionalFormatting sqref="C5:D5">
    <cfRule type="expression" dxfId="45" priority="46">
      <formula>$V$26&lt;1</formula>
    </cfRule>
  </conditionalFormatting>
  <conditionalFormatting sqref="D11">
    <cfRule type="expression" dxfId="44" priority="45">
      <formula>$V$26&lt;1</formula>
    </cfRule>
  </conditionalFormatting>
  <conditionalFormatting sqref="E39:F39">
    <cfRule type="cellIs" dxfId="43" priority="44" operator="lessThan">
      <formula>0</formula>
    </cfRule>
  </conditionalFormatting>
  <conditionalFormatting sqref="E38:F38">
    <cfRule type="cellIs" dxfId="42" priority="43" operator="lessThan">
      <formula>0</formula>
    </cfRule>
  </conditionalFormatting>
  <conditionalFormatting sqref="E40:F40">
    <cfRule type="cellIs" dxfId="41" priority="42" operator="lessThan">
      <formula>0</formula>
    </cfRule>
  </conditionalFormatting>
  <conditionalFormatting sqref="E42:F42">
    <cfRule type="cellIs" dxfId="40" priority="40" operator="greaterThan">
      <formula>0</formula>
    </cfRule>
    <cfRule type="cellIs" dxfId="39" priority="41" operator="lessThan">
      <formula>0</formula>
    </cfRule>
  </conditionalFormatting>
  <conditionalFormatting sqref="E38:F40">
    <cfRule type="cellIs" dxfId="38" priority="38" operator="greaterThan">
      <formula>0</formula>
    </cfRule>
    <cfRule type="cellIs" dxfId="37" priority="39" operator="lessThan">
      <formula>0</formula>
    </cfRule>
  </conditionalFormatting>
  <conditionalFormatting sqref="B13:D13">
    <cfRule type="expression" dxfId="36" priority="37">
      <formula>$B$13&lt;&gt;""</formula>
    </cfRule>
  </conditionalFormatting>
  <conditionalFormatting sqref="T10">
    <cfRule type="expression" dxfId="35" priority="36">
      <formula>"L18=1"</formula>
    </cfRule>
  </conditionalFormatting>
  <conditionalFormatting sqref="T11">
    <cfRule type="expression" dxfId="34" priority="35">
      <formula>"L18=1"</formula>
    </cfRule>
  </conditionalFormatting>
  <conditionalFormatting sqref="T11">
    <cfRule type="expression" dxfId="33" priority="34">
      <formula>"L18=1"</formula>
    </cfRule>
  </conditionalFormatting>
  <conditionalFormatting sqref="T12">
    <cfRule type="expression" dxfId="32" priority="33">
      <formula>"L18=1"</formula>
    </cfRule>
  </conditionalFormatting>
  <conditionalFormatting sqref="T9">
    <cfRule type="expression" dxfId="31" priority="32">
      <formula>"L18=1"</formula>
    </cfRule>
  </conditionalFormatting>
  <conditionalFormatting sqref="T10">
    <cfRule type="expression" dxfId="30" priority="31">
      <formula>"L18=1"</formula>
    </cfRule>
  </conditionalFormatting>
  <conditionalFormatting sqref="T10">
    <cfRule type="expression" dxfId="29" priority="30">
      <formula>"L18=1"</formula>
    </cfRule>
  </conditionalFormatting>
  <conditionalFormatting sqref="T11">
    <cfRule type="expression" dxfId="28" priority="29">
      <formula>"L18=1"</formula>
    </cfRule>
  </conditionalFormatting>
  <conditionalFormatting sqref="T15:V15">
    <cfRule type="expression" dxfId="27" priority="28">
      <formula>"L18=1"</formula>
    </cfRule>
  </conditionalFormatting>
  <conditionalFormatting sqref="X20">
    <cfRule type="expression" dxfId="26" priority="27">
      <formula>"L18=1"</formula>
    </cfRule>
  </conditionalFormatting>
  <conditionalFormatting sqref="W20">
    <cfRule type="expression" dxfId="25" priority="26">
      <formula>"L18=1"</formula>
    </cfRule>
  </conditionalFormatting>
  <conditionalFormatting sqref="AA20">
    <cfRule type="expression" dxfId="24" priority="25">
      <formula>"L18=1"</formula>
    </cfRule>
  </conditionalFormatting>
  <conditionalFormatting sqref="G22">
    <cfRule type="expression" dxfId="23" priority="24">
      <formula>"L18=1"</formula>
    </cfRule>
  </conditionalFormatting>
  <conditionalFormatting sqref="G6">
    <cfRule type="expression" dxfId="22" priority="23">
      <formula>"L18=1"</formula>
    </cfRule>
  </conditionalFormatting>
  <conditionalFormatting sqref="T11">
    <cfRule type="expression" dxfId="21" priority="22">
      <formula>"L18=1"</formula>
    </cfRule>
  </conditionalFormatting>
  <conditionalFormatting sqref="T12">
    <cfRule type="expression" dxfId="20" priority="21">
      <formula>"L18=1"</formula>
    </cfRule>
  </conditionalFormatting>
  <conditionalFormatting sqref="T12">
    <cfRule type="expression" dxfId="19" priority="20">
      <formula>"L18=1"</formula>
    </cfRule>
  </conditionalFormatting>
  <conditionalFormatting sqref="T10">
    <cfRule type="expression" dxfId="18" priority="19">
      <formula>"L18=1"</formula>
    </cfRule>
  </conditionalFormatting>
  <conditionalFormatting sqref="T11">
    <cfRule type="expression" dxfId="17" priority="18">
      <formula>"L18=1"</formula>
    </cfRule>
  </conditionalFormatting>
  <conditionalFormatting sqref="T11">
    <cfRule type="expression" dxfId="16" priority="17">
      <formula>"L18=1"</formula>
    </cfRule>
  </conditionalFormatting>
  <conditionalFormatting sqref="T12">
    <cfRule type="expression" dxfId="15" priority="16">
      <formula>"L18=1"</formula>
    </cfRule>
  </conditionalFormatting>
  <conditionalFormatting sqref="T11">
    <cfRule type="expression" dxfId="14" priority="15">
      <formula>"L18=1"</formula>
    </cfRule>
  </conditionalFormatting>
  <conditionalFormatting sqref="T12">
    <cfRule type="expression" dxfId="13" priority="14">
      <formula>"L18=1"</formula>
    </cfRule>
  </conditionalFormatting>
  <conditionalFormatting sqref="T12">
    <cfRule type="expression" dxfId="12" priority="13">
      <formula>"L18=1"</formula>
    </cfRule>
  </conditionalFormatting>
  <conditionalFormatting sqref="T13">
    <cfRule type="expression" dxfId="11" priority="12">
      <formula>"L18=1"</formula>
    </cfRule>
  </conditionalFormatting>
  <conditionalFormatting sqref="T10">
    <cfRule type="expression" dxfId="10" priority="11">
      <formula>"L18=1"</formula>
    </cfRule>
  </conditionalFormatting>
  <conditionalFormatting sqref="T11">
    <cfRule type="expression" dxfId="9" priority="10">
      <formula>"L18=1"</formula>
    </cfRule>
  </conditionalFormatting>
  <conditionalFormatting sqref="T11">
    <cfRule type="expression" dxfId="8" priority="9">
      <formula>"L18=1"</formula>
    </cfRule>
  </conditionalFormatting>
  <conditionalFormatting sqref="T12">
    <cfRule type="expression" dxfId="7" priority="8">
      <formula>"L18=1"</formula>
    </cfRule>
  </conditionalFormatting>
  <conditionalFormatting sqref="T12">
    <cfRule type="expression" dxfId="6" priority="7">
      <formula>"L18=1"</formula>
    </cfRule>
  </conditionalFormatting>
  <conditionalFormatting sqref="T13">
    <cfRule type="expression" dxfId="5" priority="6">
      <formula>"L18=1"</formula>
    </cfRule>
  </conditionalFormatting>
  <conditionalFormatting sqref="T13">
    <cfRule type="expression" dxfId="4" priority="5">
      <formula>"L18=1"</formula>
    </cfRule>
  </conditionalFormatting>
  <conditionalFormatting sqref="T11">
    <cfRule type="expression" dxfId="3" priority="4">
      <formula>"L18=1"</formula>
    </cfRule>
  </conditionalFormatting>
  <conditionalFormatting sqref="T12">
    <cfRule type="expression" dxfId="2" priority="3">
      <formula>"L18=1"</formula>
    </cfRule>
  </conditionalFormatting>
  <conditionalFormatting sqref="T12">
    <cfRule type="expression" dxfId="1" priority="2">
      <formula>"L18=1"</formula>
    </cfRule>
  </conditionalFormatting>
  <conditionalFormatting sqref="T13">
    <cfRule type="expression" dxfId="0" priority="1">
      <formula>"L18=1"</formula>
    </cfRule>
  </conditionalFormatting>
  <dataValidations count="6">
    <dataValidation type="list" allowBlank="1" showInputMessage="1" showErrorMessage="1" sqref="D3">
      <formula1>$V$5:$V$14</formula1>
    </dataValidation>
    <dataValidation type="list" allowBlank="1" showInputMessage="1" showErrorMessage="1" sqref="C7:D7">
      <formula1>$T$1:$T$3</formula1>
    </dataValidation>
    <dataValidation type="list" allowBlank="1" showInputMessage="1" showErrorMessage="1" sqref="C3">
      <formula1>$W$1:$W$2</formula1>
    </dataValidation>
    <dataValidation allowBlank="1" showInputMessage="1" showErrorMessage="1" promptTitle="Upozornění" prompt="Zadávejte hodnotu pouze u tarifú C 25d, D 25d a vyšších. Jinak vyplň 0." sqref="C5:D5"/>
    <dataValidation type="list" allowBlank="1" showInputMessage="1" showErrorMessage="1" sqref="C9:D9">
      <formula1>$T$22:$T$23</formula1>
    </dataValidation>
    <dataValidation type="list" allowBlank="1" showInputMessage="1" showErrorMessage="1" sqref="F14">
      <formula1>$T$25:$T$26</formula1>
    </dataValidation>
  </dataValidations>
  <pageMargins left="0.25" right="0.25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opLeftCell="F42" zoomScaleNormal="100" workbookViewId="0">
      <selection activeCell="C3" sqref="C3"/>
    </sheetView>
  </sheetViews>
  <sheetFormatPr defaultRowHeight="15" x14ac:dyDescent="0.25"/>
  <cols>
    <col min="1" max="1" width="50.5703125" customWidth="1"/>
    <col min="8" max="8" width="11.42578125" customWidth="1"/>
    <col min="23" max="23" width="10.42578125" customWidth="1"/>
    <col min="24" max="24" width="10" customWidth="1"/>
    <col min="25" max="25" width="10.5703125" customWidth="1"/>
    <col min="26" max="26" width="10" customWidth="1"/>
    <col min="27" max="27" width="10.42578125" customWidth="1"/>
    <col min="28" max="28" width="10.5703125" customWidth="1"/>
  </cols>
  <sheetData>
    <row r="1" spans="1:32" ht="16.5" x14ac:dyDescent="0.25">
      <c r="A1" s="12" t="s">
        <v>165</v>
      </c>
      <c r="B1" s="12"/>
      <c r="C1" s="74"/>
      <c r="D1" s="7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x14ac:dyDescent="0.25">
      <c r="A2" s="74"/>
      <c r="B2" s="74" t="s">
        <v>166</v>
      </c>
      <c r="C2" s="74" t="s">
        <v>169</v>
      </c>
      <c r="D2" s="74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0.25" x14ac:dyDescent="0.25">
      <c r="A3" s="75"/>
      <c r="B3" s="12"/>
      <c r="C3" s="74"/>
      <c r="D3" s="7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6.5" x14ac:dyDescent="0.25">
      <c r="A5" s="12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5">
      <c r="A6" s="13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5">
      <c r="A8" s="13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13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1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5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6.5" x14ac:dyDescent="0.25">
      <c r="A15" s="12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5.75" thickBo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1" ht="17.25" thickTop="1" thickBot="1" x14ac:dyDescent="0.3">
      <c r="A17" s="14"/>
      <c r="B17" s="16" t="s">
        <v>9</v>
      </c>
      <c r="C17" s="76"/>
      <c r="D17" s="77"/>
      <c r="E17" s="16" t="s">
        <v>10</v>
      </c>
      <c r="F17" s="76"/>
      <c r="G17" s="77"/>
      <c r="H17" s="16" t="s">
        <v>11</v>
      </c>
      <c r="I17" s="76"/>
      <c r="J17" s="77"/>
      <c r="K17" s="16" t="s">
        <v>12</v>
      </c>
      <c r="L17" s="76"/>
      <c r="M17" s="77"/>
      <c r="N17" s="16" t="s">
        <v>13</v>
      </c>
      <c r="O17" s="76"/>
      <c r="P17" s="77"/>
      <c r="Q17" s="110" t="s">
        <v>14</v>
      </c>
      <c r="R17" s="76"/>
      <c r="S17" s="77"/>
      <c r="T17" s="16" t="s">
        <v>15</v>
      </c>
      <c r="U17" s="76"/>
      <c r="V17" s="77"/>
      <c r="W17" s="16" t="s">
        <v>137</v>
      </c>
      <c r="X17" s="76"/>
      <c r="Y17" s="77"/>
      <c r="Z17" s="16" t="s">
        <v>16</v>
      </c>
      <c r="AA17" s="76"/>
      <c r="AB17" s="77"/>
      <c r="AC17" s="16" t="s">
        <v>17</v>
      </c>
      <c r="AD17" s="76"/>
      <c r="AE17" s="78"/>
    </row>
    <row r="18" spans="1:31" ht="16.5" x14ac:dyDescent="0.25">
      <c r="A18" s="18" t="s">
        <v>18</v>
      </c>
      <c r="B18" s="22"/>
      <c r="C18" s="79"/>
      <c r="D18" s="80"/>
      <c r="E18" s="22"/>
      <c r="F18" s="79"/>
      <c r="G18" s="80"/>
      <c r="H18" s="22"/>
      <c r="I18" s="79"/>
      <c r="J18" s="80"/>
      <c r="K18" s="22"/>
      <c r="L18" s="79"/>
      <c r="M18" s="80"/>
      <c r="N18" s="22"/>
      <c r="O18" s="79"/>
      <c r="P18" s="80"/>
      <c r="Q18" s="111"/>
      <c r="R18" s="79"/>
      <c r="S18" s="80"/>
      <c r="T18" s="22"/>
      <c r="U18" s="79"/>
      <c r="V18" s="80"/>
      <c r="W18" s="22"/>
      <c r="X18" s="79"/>
      <c r="Y18" s="80"/>
      <c r="Z18" s="22"/>
      <c r="AA18" s="79"/>
      <c r="AB18" s="81"/>
      <c r="AC18" s="12"/>
    </row>
    <row r="19" spans="1:31" x14ac:dyDescent="0.25">
      <c r="A19" s="24" t="s">
        <v>19</v>
      </c>
      <c r="B19" s="112">
        <v>1438</v>
      </c>
      <c r="C19" s="112">
        <f>B19</f>
        <v>1438</v>
      </c>
      <c r="D19" s="127">
        <f t="shared" ref="D19:S20" si="0">C19</f>
        <v>1438</v>
      </c>
      <c r="E19" s="128">
        <f t="shared" si="0"/>
        <v>1438</v>
      </c>
      <c r="F19" s="128">
        <f t="shared" si="0"/>
        <v>1438</v>
      </c>
      <c r="G19" s="127">
        <f t="shared" si="0"/>
        <v>1438</v>
      </c>
      <c r="H19" s="82">
        <f t="shared" si="0"/>
        <v>1438</v>
      </c>
      <c r="I19" s="128">
        <f t="shared" si="0"/>
        <v>1438</v>
      </c>
      <c r="J19" s="127">
        <f t="shared" si="0"/>
        <v>1438</v>
      </c>
      <c r="K19" s="128">
        <v>1438</v>
      </c>
      <c r="L19" s="128">
        <f>K19</f>
        <v>1438</v>
      </c>
      <c r="M19" s="127">
        <f t="shared" ref="M19:S19" si="1">L19</f>
        <v>1438</v>
      </c>
      <c r="N19" s="128">
        <f t="shared" si="1"/>
        <v>1438</v>
      </c>
      <c r="O19" s="128">
        <f t="shared" si="1"/>
        <v>1438</v>
      </c>
      <c r="P19" s="127">
        <f t="shared" si="1"/>
        <v>1438</v>
      </c>
      <c r="Q19" s="82">
        <f t="shared" si="1"/>
        <v>1438</v>
      </c>
      <c r="R19" s="128">
        <f t="shared" si="1"/>
        <v>1438</v>
      </c>
      <c r="S19" s="127">
        <f t="shared" si="1"/>
        <v>1438</v>
      </c>
      <c r="T19" s="128">
        <f>S19</f>
        <v>1438</v>
      </c>
      <c r="U19" s="128">
        <f>T19</f>
        <v>1438</v>
      </c>
      <c r="V19" s="127">
        <f t="shared" ref="V19:AE20" si="2">U19</f>
        <v>1438</v>
      </c>
      <c r="W19" s="128">
        <f t="shared" si="2"/>
        <v>1438</v>
      </c>
      <c r="X19" s="128">
        <f t="shared" si="2"/>
        <v>1438</v>
      </c>
      <c r="Y19" s="127">
        <f t="shared" si="2"/>
        <v>1438</v>
      </c>
      <c r="Z19" s="129">
        <f>V19</f>
        <v>1438</v>
      </c>
      <c r="AA19" s="128">
        <f t="shared" si="2"/>
        <v>1438</v>
      </c>
      <c r="AB19" s="127">
        <f t="shared" si="2"/>
        <v>1438</v>
      </c>
      <c r="AC19" s="82">
        <f t="shared" si="2"/>
        <v>1438</v>
      </c>
      <c r="AD19" s="112">
        <f t="shared" si="2"/>
        <v>1438</v>
      </c>
      <c r="AE19" s="130">
        <f t="shared" si="2"/>
        <v>1438</v>
      </c>
    </row>
    <row r="20" spans="1:31" ht="15.75" thickBot="1" x14ac:dyDescent="0.3">
      <c r="A20" s="25" t="s">
        <v>20</v>
      </c>
      <c r="B20" s="113">
        <v>0</v>
      </c>
      <c r="C20" s="113">
        <f>B20</f>
        <v>0</v>
      </c>
      <c r="D20" s="114">
        <f t="shared" si="0"/>
        <v>0</v>
      </c>
      <c r="E20" s="113">
        <f>D20</f>
        <v>0</v>
      </c>
      <c r="F20" s="113">
        <f t="shared" si="0"/>
        <v>0</v>
      </c>
      <c r="G20" s="114">
        <f t="shared" si="0"/>
        <v>0</v>
      </c>
      <c r="H20" s="113">
        <f>G20</f>
        <v>0</v>
      </c>
      <c r="I20" s="113">
        <f t="shared" si="0"/>
        <v>0</v>
      </c>
      <c r="J20" s="114">
        <f t="shared" si="0"/>
        <v>0</v>
      </c>
      <c r="K20" s="113">
        <f>J20</f>
        <v>0</v>
      </c>
      <c r="L20" s="113">
        <f t="shared" si="0"/>
        <v>0</v>
      </c>
      <c r="M20" s="114">
        <f t="shared" si="0"/>
        <v>0</v>
      </c>
      <c r="N20" s="113">
        <f t="shared" si="0"/>
        <v>0</v>
      </c>
      <c r="O20" s="113">
        <f t="shared" si="0"/>
        <v>0</v>
      </c>
      <c r="P20" s="114">
        <f t="shared" si="0"/>
        <v>0</v>
      </c>
      <c r="Q20" s="115">
        <f>P20</f>
        <v>0</v>
      </c>
      <c r="R20" s="113">
        <f t="shared" si="0"/>
        <v>0</v>
      </c>
      <c r="S20" s="114">
        <f t="shared" si="0"/>
        <v>0</v>
      </c>
      <c r="T20" s="113">
        <f t="shared" ref="T20:AE20" si="3">S20</f>
        <v>0</v>
      </c>
      <c r="U20" s="113">
        <f t="shared" si="3"/>
        <v>0</v>
      </c>
      <c r="V20" s="114">
        <f t="shared" si="3"/>
        <v>0</v>
      </c>
      <c r="W20" s="113">
        <f t="shared" si="2"/>
        <v>0</v>
      </c>
      <c r="X20" s="113">
        <f t="shared" si="2"/>
        <v>0</v>
      </c>
      <c r="Y20" s="114">
        <f t="shared" si="2"/>
        <v>0</v>
      </c>
      <c r="Z20" s="113">
        <f>V20</f>
        <v>0</v>
      </c>
      <c r="AA20" s="113">
        <f t="shared" si="3"/>
        <v>0</v>
      </c>
      <c r="AB20" s="114">
        <f t="shared" si="3"/>
        <v>0</v>
      </c>
      <c r="AC20" s="113">
        <f t="shared" si="3"/>
        <v>0</v>
      </c>
      <c r="AD20" s="113">
        <f t="shared" si="3"/>
        <v>0</v>
      </c>
      <c r="AE20" s="116">
        <f t="shared" si="3"/>
        <v>0</v>
      </c>
    </row>
    <row r="21" spans="1:31" x14ac:dyDescent="0.25">
      <c r="A21" s="18" t="s">
        <v>21</v>
      </c>
      <c r="B21" s="26"/>
      <c r="C21" s="20"/>
      <c r="D21" s="20"/>
      <c r="E21" s="26"/>
      <c r="F21" s="20"/>
      <c r="G21" s="20"/>
      <c r="H21" s="20"/>
      <c r="I21" s="20"/>
      <c r="J21" s="20"/>
      <c r="K21" s="20"/>
      <c r="L21" s="20"/>
      <c r="M21" s="21"/>
      <c r="N21" s="20"/>
      <c r="O21" s="20"/>
      <c r="P21" s="21"/>
      <c r="Q21" s="20"/>
      <c r="R21" s="20"/>
      <c r="S21" s="21"/>
      <c r="T21" s="20"/>
      <c r="U21" s="20"/>
      <c r="V21" s="21"/>
      <c r="W21" s="20"/>
      <c r="X21" s="20"/>
      <c r="Y21" s="21"/>
      <c r="Z21" s="20"/>
      <c r="AA21" s="20"/>
      <c r="AB21" s="23"/>
      <c r="AC21" s="10"/>
    </row>
    <row r="22" spans="1:31" x14ac:dyDescent="0.25">
      <c r="A22" s="27" t="s">
        <v>22</v>
      </c>
      <c r="B22" s="28"/>
      <c r="C22" s="29"/>
      <c r="D22" s="29"/>
      <c r="E22" s="28"/>
      <c r="F22" s="29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29"/>
      <c r="S22" s="30"/>
      <c r="T22" s="29"/>
      <c r="U22" s="29"/>
      <c r="V22" s="30"/>
      <c r="W22" s="29"/>
      <c r="X22" s="29"/>
      <c r="Y22" s="30"/>
      <c r="Z22" s="29"/>
      <c r="AA22" s="29"/>
      <c r="AB22" s="31"/>
      <c r="AC22" s="10"/>
    </row>
    <row r="23" spans="1:31" x14ac:dyDescent="0.25">
      <c r="A23" s="32"/>
      <c r="B23" s="117" t="s">
        <v>25</v>
      </c>
      <c r="C23" s="118" t="s">
        <v>23</v>
      </c>
      <c r="D23" s="119" t="s">
        <v>24</v>
      </c>
      <c r="E23" s="117" t="s">
        <v>25</v>
      </c>
      <c r="F23" s="118" t="s">
        <v>23</v>
      </c>
      <c r="G23" s="119" t="s">
        <v>24</v>
      </c>
      <c r="H23" s="117" t="s">
        <v>25</v>
      </c>
      <c r="I23" s="118" t="s">
        <v>23</v>
      </c>
      <c r="J23" s="119" t="s">
        <v>24</v>
      </c>
      <c r="K23" s="117" t="s">
        <v>25</v>
      </c>
      <c r="L23" s="118" t="s">
        <v>23</v>
      </c>
      <c r="M23" s="119" t="s">
        <v>24</v>
      </c>
      <c r="N23" s="117" t="s">
        <v>25</v>
      </c>
      <c r="O23" s="118" t="s">
        <v>23</v>
      </c>
      <c r="P23" s="119" t="s">
        <v>24</v>
      </c>
      <c r="Q23" s="117" t="s">
        <v>25</v>
      </c>
      <c r="R23" s="118" t="s">
        <v>23</v>
      </c>
      <c r="S23" s="119" t="s">
        <v>24</v>
      </c>
      <c r="T23" s="117" t="s">
        <v>25</v>
      </c>
      <c r="U23" s="118" t="s">
        <v>23</v>
      </c>
      <c r="V23" s="119" t="s">
        <v>24</v>
      </c>
      <c r="W23" s="117" t="s">
        <v>25</v>
      </c>
      <c r="X23" s="118" t="s">
        <v>23</v>
      </c>
      <c r="Y23" s="119" t="s">
        <v>24</v>
      </c>
      <c r="Z23" s="117" t="s">
        <v>25</v>
      </c>
      <c r="AA23" s="118" t="s">
        <v>23</v>
      </c>
      <c r="AB23" s="119" t="s">
        <v>24</v>
      </c>
      <c r="AC23" s="117" t="s">
        <v>25</v>
      </c>
      <c r="AD23" s="118" t="s">
        <v>23</v>
      </c>
      <c r="AE23" s="120" t="s">
        <v>24</v>
      </c>
    </row>
    <row r="24" spans="1:31" x14ac:dyDescent="0.25">
      <c r="A24" s="35" t="s">
        <v>26</v>
      </c>
      <c r="B24" s="121">
        <v>21</v>
      </c>
      <c r="C24" s="98">
        <v>17</v>
      </c>
      <c r="D24" s="100">
        <v>21</v>
      </c>
      <c r="E24" s="121">
        <v>50</v>
      </c>
      <c r="F24" s="98">
        <v>56</v>
      </c>
      <c r="G24" s="98">
        <v>50</v>
      </c>
      <c r="H24" s="121">
        <v>486</v>
      </c>
      <c r="I24" s="99">
        <v>574</v>
      </c>
      <c r="J24" s="100">
        <v>524</v>
      </c>
      <c r="K24" s="121">
        <v>112</v>
      </c>
      <c r="L24" s="99">
        <v>133</v>
      </c>
      <c r="M24" s="100">
        <v>125</v>
      </c>
      <c r="N24" s="121">
        <v>320</v>
      </c>
      <c r="O24" s="99">
        <v>359</v>
      </c>
      <c r="P24" s="99">
        <v>330</v>
      </c>
      <c r="Q24" s="121">
        <v>420</v>
      </c>
      <c r="R24" s="99">
        <v>430</v>
      </c>
      <c r="S24" s="100">
        <v>398</v>
      </c>
      <c r="T24" s="121">
        <v>423</v>
      </c>
      <c r="U24" s="99">
        <v>437</v>
      </c>
      <c r="V24" s="100">
        <v>407</v>
      </c>
      <c r="W24" s="121">
        <v>423</v>
      </c>
      <c r="X24" s="99">
        <v>437</v>
      </c>
      <c r="Y24" s="100">
        <v>407</v>
      </c>
      <c r="Z24" s="121">
        <v>317</v>
      </c>
      <c r="AA24" s="98">
        <v>328</v>
      </c>
      <c r="AB24" s="98">
        <v>305</v>
      </c>
      <c r="AC24" s="121">
        <v>423</v>
      </c>
      <c r="AD24" s="99">
        <v>437</v>
      </c>
      <c r="AE24" s="100">
        <v>407</v>
      </c>
    </row>
    <row r="25" spans="1:31" x14ac:dyDescent="0.25">
      <c r="A25" s="35" t="s">
        <v>27</v>
      </c>
      <c r="B25" s="121">
        <v>34</v>
      </c>
      <c r="C25" s="98">
        <v>28</v>
      </c>
      <c r="D25" s="100">
        <v>33</v>
      </c>
      <c r="E25" s="121">
        <v>81</v>
      </c>
      <c r="F25" s="98">
        <v>89</v>
      </c>
      <c r="G25" s="98">
        <v>80</v>
      </c>
      <c r="H25" s="121">
        <v>777</v>
      </c>
      <c r="I25" s="99">
        <v>918</v>
      </c>
      <c r="J25" s="100">
        <v>838</v>
      </c>
      <c r="K25" s="121">
        <v>180</v>
      </c>
      <c r="L25" s="99">
        <v>213</v>
      </c>
      <c r="M25" s="100">
        <v>201</v>
      </c>
      <c r="N25" s="121">
        <v>511</v>
      </c>
      <c r="O25" s="99">
        <v>574</v>
      </c>
      <c r="P25" s="99">
        <v>528</v>
      </c>
      <c r="Q25" s="121">
        <v>672</v>
      </c>
      <c r="R25" s="99">
        <v>688</v>
      </c>
      <c r="S25" s="100">
        <v>637</v>
      </c>
      <c r="T25" s="121">
        <v>676</v>
      </c>
      <c r="U25" s="99">
        <v>699</v>
      </c>
      <c r="V25" s="100">
        <v>652</v>
      </c>
      <c r="W25" s="121">
        <v>676</v>
      </c>
      <c r="X25" s="99">
        <v>699</v>
      </c>
      <c r="Y25" s="100">
        <v>652</v>
      </c>
      <c r="Z25" s="121">
        <v>507</v>
      </c>
      <c r="AA25" s="98">
        <v>524</v>
      </c>
      <c r="AB25" s="98">
        <v>489</v>
      </c>
      <c r="AC25" s="121">
        <v>676</v>
      </c>
      <c r="AD25" s="99">
        <v>699</v>
      </c>
      <c r="AE25" s="100">
        <v>652</v>
      </c>
    </row>
    <row r="26" spans="1:31" x14ac:dyDescent="0.25">
      <c r="A26" s="35" t="s">
        <v>28</v>
      </c>
      <c r="B26" s="121">
        <v>42</v>
      </c>
      <c r="C26" s="98">
        <v>35</v>
      </c>
      <c r="D26" s="100">
        <v>41</v>
      </c>
      <c r="E26" s="121">
        <v>101</v>
      </c>
      <c r="F26" s="98">
        <v>111</v>
      </c>
      <c r="G26" s="98">
        <v>100</v>
      </c>
      <c r="H26" s="121">
        <v>971</v>
      </c>
      <c r="I26" s="99">
        <v>1147</v>
      </c>
      <c r="J26" s="100">
        <v>1048</v>
      </c>
      <c r="K26" s="121">
        <v>224</v>
      </c>
      <c r="L26" s="99">
        <v>266</v>
      </c>
      <c r="M26" s="100">
        <v>251</v>
      </c>
      <c r="N26" s="121">
        <v>639</v>
      </c>
      <c r="O26" s="99">
        <v>717</v>
      </c>
      <c r="P26" s="99">
        <v>659</v>
      </c>
      <c r="Q26" s="121">
        <v>839</v>
      </c>
      <c r="R26" s="99">
        <v>860</v>
      </c>
      <c r="S26" s="100">
        <v>797</v>
      </c>
      <c r="T26" s="121">
        <v>845</v>
      </c>
      <c r="U26" s="99">
        <v>874</v>
      </c>
      <c r="V26" s="100">
        <v>815</v>
      </c>
      <c r="W26" s="121">
        <v>845</v>
      </c>
      <c r="X26" s="99">
        <v>874</v>
      </c>
      <c r="Y26" s="100">
        <v>815</v>
      </c>
      <c r="Z26" s="121">
        <v>634</v>
      </c>
      <c r="AA26" s="98">
        <v>655</v>
      </c>
      <c r="AB26" s="98">
        <v>611</v>
      </c>
      <c r="AC26" s="121">
        <v>845</v>
      </c>
      <c r="AD26" s="99">
        <v>874</v>
      </c>
      <c r="AE26" s="100">
        <v>815</v>
      </c>
    </row>
    <row r="27" spans="1:31" x14ac:dyDescent="0.25">
      <c r="A27" s="35" t="s">
        <v>29</v>
      </c>
      <c r="B27" s="121">
        <v>53</v>
      </c>
      <c r="C27" s="98">
        <v>44</v>
      </c>
      <c r="D27" s="100">
        <v>52</v>
      </c>
      <c r="E27" s="121">
        <v>126</v>
      </c>
      <c r="F27" s="98">
        <v>139</v>
      </c>
      <c r="G27" s="98">
        <v>125</v>
      </c>
      <c r="H27" s="121">
        <v>1214</v>
      </c>
      <c r="I27" s="99">
        <v>1434</v>
      </c>
      <c r="J27" s="100">
        <v>1310</v>
      </c>
      <c r="K27" s="121">
        <v>281</v>
      </c>
      <c r="L27" s="99">
        <v>332</v>
      </c>
      <c r="M27" s="100">
        <v>314</v>
      </c>
      <c r="N27" s="121">
        <v>799</v>
      </c>
      <c r="O27" s="99">
        <v>896</v>
      </c>
      <c r="P27" s="99">
        <v>824</v>
      </c>
      <c r="Q27" s="121">
        <v>1049</v>
      </c>
      <c r="R27" s="99">
        <v>1076</v>
      </c>
      <c r="S27" s="100">
        <v>996</v>
      </c>
      <c r="T27" s="121">
        <v>1057</v>
      </c>
      <c r="U27" s="99">
        <v>1092</v>
      </c>
      <c r="V27" s="100">
        <v>1019</v>
      </c>
      <c r="W27" s="121">
        <v>1057</v>
      </c>
      <c r="X27" s="99">
        <v>1092</v>
      </c>
      <c r="Y27" s="100">
        <v>1018</v>
      </c>
      <c r="Z27" s="121">
        <v>793</v>
      </c>
      <c r="AA27" s="98">
        <v>819</v>
      </c>
      <c r="AB27" s="98">
        <v>764</v>
      </c>
      <c r="AC27" s="121">
        <v>1057</v>
      </c>
      <c r="AD27" s="99">
        <v>1092</v>
      </c>
      <c r="AE27" s="100">
        <v>1019</v>
      </c>
    </row>
    <row r="28" spans="1:31" x14ac:dyDescent="0.25">
      <c r="A28" s="35" t="s">
        <v>30</v>
      </c>
      <c r="B28" s="121">
        <v>67</v>
      </c>
      <c r="C28" s="98">
        <v>56</v>
      </c>
      <c r="D28" s="100">
        <v>66</v>
      </c>
      <c r="E28" s="121">
        <v>161</v>
      </c>
      <c r="F28" s="98">
        <v>178</v>
      </c>
      <c r="G28" s="98">
        <v>159</v>
      </c>
      <c r="H28" s="121">
        <v>1554</v>
      </c>
      <c r="I28" s="99">
        <v>1836</v>
      </c>
      <c r="J28" s="100">
        <v>1676</v>
      </c>
      <c r="K28" s="121">
        <v>359</v>
      </c>
      <c r="L28" s="99">
        <v>425</v>
      </c>
      <c r="M28" s="100">
        <v>401</v>
      </c>
      <c r="N28" s="121">
        <v>1022</v>
      </c>
      <c r="O28" s="99">
        <v>1147</v>
      </c>
      <c r="P28" s="99">
        <v>1055</v>
      </c>
      <c r="Q28" s="121">
        <v>1343</v>
      </c>
      <c r="R28" s="99">
        <v>1377</v>
      </c>
      <c r="S28" s="100">
        <v>1275</v>
      </c>
      <c r="T28" s="121">
        <v>1353</v>
      </c>
      <c r="U28" s="99">
        <v>1398</v>
      </c>
      <c r="V28" s="100">
        <v>1304</v>
      </c>
      <c r="W28" s="121">
        <v>1353</v>
      </c>
      <c r="X28" s="99">
        <v>1398</v>
      </c>
      <c r="Y28" s="100">
        <v>1304</v>
      </c>
      <c r="Z28" s="121">
        <v>1015</v>
      </c>
      <c r="AA28" s="98">
        <v>1048</v>
      </c>
      <c r="AB28" s="98">
        <v>977</v>
      </c>
      <c r="AC28" s="121">
        <v>1353</v>
      </c>
      <c r="AD28" s="99">
        <v>1398</v>
      </c>
      <c r="AE28" s="100">
        <v>1304</v>
      </c>
    </row>
    <row r="29" spans="1:31" x14ac:dyDescent="0.25">
      <c r="A29" s="35" t="s">
        <v>31</v>
      </c>
      <c r="B29" s="121">
        <v>84</v>
      </c>
      <c r="C29" s="98">
        <v>70</v>
      </c>
      <c r="D29" s="100">
        <v>83</v>
      </c>
      <c r="E29" s="121">
        <v>202</v>
      </c>
      <c r="F29" s="98">
        <v>222</v>
      </c>
      <c r="G29" s="98">
        <v>199</v>
      </c>
      <c r="H29" s="121">
        <v>1943</v>
      </c>
      <c r="I29" s="99">
        <v>2294</v>
      </c>
      <c r="J29" s="100">
        <v>2095</v>
      </c>
      <c r="K29" s="121">
        <v>449</v>
      </c>
      <c r="L29" s="99">
        <v>532</v>
      </c>
      <c r="M29" s="100">
        <v>502</v>
      </c>
      <c r="N29" s="121">
        <v>1278</v>
      </c>
      <c r="O29" s="99">
        <v>1434</v>
      </c>
      <c r="P29" s="99">
        <v>1319</v>
      </c>
      <c r="Q29" s="121">
        <v>1679</v>
      </c>
      <c r="R29" s="99">
        <v>1721</v>
      </c>
      <c r="S29" s="100">
        <v>1594</v>
      </c>
      <c r="T29" s="121">
        <v>1691</v>
      </c>
      <c r="U29" s="99">
        <v>1747</v>
      </c>
      <c r="V29" s="100">
        <v>1630</v>
      </c>
      <c r="W29" s="121">
        <v>1708</v>
      </c>
      <c r="X29" s="99">
        <v>1765</v>
      </c>
      <c r="Y29" s="100">
        <v>1646</v>
      </c>
      <c r="Z29" s="121">
        <v>1268</v>
      </c>
      <c r="AA29" s="98">
        <v>1310</v>
      </c>
      <c r="AB29" s="98">
        <v>1222</v>
      </c>
      <c r="AC29" s="121">
        <v>1691</v>
      </c>
      <c r="AD29" s="99">
        <v>1747</v>
      </c>
      <c r="AE29" s="100">
        <v>1630</v>
      </c>
    </row>
    <row r="30" spans="1:31" x14ac:dyDescent="0.25">
      <c r="A30" s="35" t="s">
        <v>32</v>
      </c>
      <c r="B30" s="121">
        <v>105</v>
      </c>
      <c r="C30" s="98">
        <v>87</v>
      </c>
      <c r="D30" s="100">
        <v>104</v>
      </c>
      <c r="E30" s="121">
        <v>252</v>
      </c>
      <c r="F30" s="98">
        <v>278</v>
      </c>
      <c r="G30" s="98">
        <v>249</v>
      </c>
      <c r="H30" s="121">
        <v>2429</v>
      </c>
      <c r="I30" s="99">
        <v>2868</v>
      </c>
      <c r="J30" s="100">
        <v>2619</v>
      </c>
      <c r="K30" s="121">
        <v>561</v>
      </c>
      <c r="L30" s="99">
        <v>665</v>
      </c>
      <c r="M30" s="100">
        <v>627</v>
      </c>
      <c r="N30" s="121">
        <v>1598</v>
      </c>
      <c r="O30" s="99">
        <v>1793</v>
      </c>
      <c r="P30" s="99">
        <v>1649</v>
      </c>
      <c r="Q30" s="121">
        <v>2099</v>
      </c>
      <c r="R30" s="99">
        <v>2151</v>
      </c>
      <c r="S30" s="100">
        <v>1992</v>
      </c>
      <c r="T30" s="121">
        <v>2114</v>
      </c>
      <c r="U30" s="99">
        <v>2184</v>
      </c>
      <c r="V30" s="100">
        <v>2037</v>
      </c>
      <c r="W30" s="121">
        <v>2156</v>
      </c>
      <c r="X30" s="99">
        <v>2228</v>
      </c>
      <c r="Y30" s="100">
        <v>2078</v>
      </c>
      <c r="Z30" s="121">
        <v>1586</v>
      </c>
      <c r="AA30" s="98">
        <v>1638</v>
      </c>
      <c r="AB30" s="98">
        <v>1527</v>
      </c>
      <c r="AC30" s="121">
        <v>2114</v>
      </c>
      <c r="AD30" s="99">
        <v>2184</v>
      </c>
      <c r="AE30" s="100">
        <v>2037</v>
      </c>
    </row>
    <row r="31" spans="1:31" x14ac:dyDescent="0.25">
      <c r="A31" s="35" t="s">
        <v>33</v>
      </c>
      <c r="B31" s="121">
        <v>132</v>
      </c>
      <c r="C31" s="98">
        <v>110</v>
      </c>
      <c r="D31" s="100">
        <v>130</v>
      </c>
      <c r="E31" s="121">
        <v>318</v>
      </c>
      <c r="F31" s="98">
        <v>350</v>
      </c>
      <c r="G31" s="98">
        <v>314</v>
      </c>
      <c r="H31" s="121">
        <v>3060</v>
      </c>
      <c r="I31" s="99">
        <v>3614</v>
      </c>
      <c r="J31" s="100">
        <v>3300</v>
      </c>
      <c r="K31" s="121">
        <v>707</v>
      </c>
      <c r="L31" s="99">
        <v>837</v>
      </c>
      <c r="M31" s="100">
        <v>790</v>
      </c>
      <c r="N31" s="121">
        <v>2013</v>
      </c>
      <c r="O31" s="99">
        <v>2259</v>
      </c>
      <c r="P31" s="99">
        <v>2077</v>
      </c>
      <c r="Q31" s="121">
        <v>2644</v>
      </c>
      <c r="R31" s="99">
        <v>2710</v>
      </c>
      <c r="S31" s="100">
        <v>2510</v>
      </c>
      <c r="T31" s="121">
        <v>2663</v>
      </c>
      <c r="U31" s="99">
        <v>2752</v>
      </c>
      <c r="V31" s="100">
        <v>2567</v>
      </c>
      <c r="W31" s="121">
        <v>2743</v>
      </c>
      <c r="X31" s="99">
        <v>2836</v>
      </c>
      <c r="Y31" s="100">
        <v>2644</v>
      </c>
      <c r="Z31" s="121">
        <v>1998</v>
      </c>
      <c r="AA31" s="98">
        <v>2064</v>
      </c>
      <c r="AB31" s="98">
        <v>1924</v>
      </c>
      <c r="AC31" s="121">
        <v>2663</v>
      </c>
      <c r="AD31" s="99">
        <v>2752</v>
      </c>
      <c r="AE31" s="100">
        <v>2567</v>
      </c>
    </row>
    <row r="32" spans="1:31" x14ac:dyDescent="0.25">
      <c r="A32" s="35" t="s">
        <v>34</v>
      </c>
      <c r="B32" s="121">
        <v>168</v>
      </c>
      <c r="C32" s="98">
        <v>139</v>
      </c>
      <c r="D32" s="100">
        <v>166</v>
      </c>
      <c r="E32" s="121">
        <v>403</v>
      </c>
      <c r="F32" s="98">
        <v>444</v>
      </c>
      <c r="G32" s="98">
        <v>398</v>
      </c>
      <c r="H32" s="121">
        <v>3886</v>
      </c>
      <c r="I32" s="99">
        <v>4589</v>
      </c>
      <c r="J32" s="100">
        <v>4190</v>
      </c>
      <c r="K32" s="121">
        <v>898</v>
      </c>
      <c r="L32" s="99">
        <v>1063</v>
      </c>
      <c r="M32" s="100">
        <v>1003</v>
      </c>
      <c r="N32" s="121">
        <v>2556</v>
      </c>
      <c r="O32" s="99">
        <v>2868</v>
      </c>
      <c r="P32" s="99">
        <v>2638</v>
      </c>
      <c r="Q32" s="121">
        <v>3358</v>
      </c>
      <c r="R32" s="99">
        <v>3442</v>
      </c>
      <c r="S32" s="100">
        <v>3187</v>
      </c>
      <c r="T32" s="121">
        <v>3382</v>
      </c>
      <c r="U32" s="99">
        <v>3494</v>
      </c>
      <c r="V32" s="100">
        <v>3259</v>
      </c>
      <c r="W32" s="121">
        <v>3735</v>
      </c>
      <c r="X32" s="99">
        <v>3695</v>
      </c>
      <c r="Y32" s="100">
        <v>3518</v>
      </c>
      <c r="Z32" s="121">
        <v>2537</v>
      </c>
      <c r="AA32" s="98">
        <v>2621</v>
      </c>
      <c r="AB32" s="98">
        <v>2443</v>
      </c>
      <c r="AC32" s="121">
        <v>3382</v>
      </c>
      <c r="AD32" s="99">
        <v>3494</v>
      </c>
      <c r="AE32" s="100">
        <v>3259</v>
      </c>
    </row>
    <row r="33" spans="1:32" x14ac:dyDescent="0.25">
      <c r="A33" s="35" t="s">
        <v>35</v>
      </c>
      <c r="B33" s="121">
        <v>210</v>
      </c>
      <c r="C33" s="98">
        <v>174</v>
      </c>
      <c r="D33" s="100">
        <v>207</v>
      </c>
      <c r="E33" s="121">
        <v>504</v>
      </c>
      <c r="F33" s="98">
        <v>555</v>
      </c>
      <c r="G33" s="98">
        <v>498</v>
      </c>
      <c r="H33" s="121">
        <v>4857</v>
      </c>
      <c r="I33" s="99">
        <v>5736</v>
      </c>
      <c r="J33" s="100">
        <v>5238</v>
      </c>
      <c r="K33" s="121">
        <v>1122</v>
      </c>
      <c r="L33" s="99">
        <v>1329</v>
      </c>
      <c r="M33" s="100">
        <v>1254</v>
      </c>
      <c r="N33" s="121">
        <v>3195</v>
      </c>
      <c r="O33" s="99">
        <v>3585</v>
      </c>
      <c r="P33" s="99">
        <v>3297</v>
      </c>
      <c r="Q33" s="121">
        <v>4197</v>
      </c>
      <c r="R33" s="99">
        <v>4302</v>
      </c>
      <c r="S33" s="100">
        <v>3984</v>
      </c>
      <c r="T33" s="121">
        <v>4227</v>
      </c>
      <c r="U33" s="99">
        <v>4368</v>
      </c>
      <c r="V33" s="100">
        <v>4074</v>
      </c>
      <c r="W33" s="121">
        <v>5668</v>
      </c>
      <c r="X33" s="99">
        <v>5381</v>
      </c>
      <c r="Y33" s="100">
        <v>5219</v>
      </c>
      <c r="Z33" s="121">
        <v>3171</v>
      </c>
      <c r="AA33" s="98">
        <v>3276</v>
      </c>
      <c r="AB33" s="98">
        <v>3054</v>
      </c>
      <c r="AC33" s="121">
        <v>4227</v>
      </c>
      <c r="AD33" s="99">
        <v>4368</v>
      </c>
      <c r="AE33" s="100">
        <v>4074</v>
      </c>
    </row>
    <row r="34" spans="1:32" x14ac:dyDescent="0.25">
      <c r="A34" s="35" t="s">
        <v>36</v>
      </c>
      <c r="B34" s="121">
        <v>263</v>
      </c>
      <c r="C34" s="98">
        <v>218</v>
      </c>
      <c r="D34" s="100">
        <v>259</v>
      </c>
      <c r="E34" s="121">
        <v>630</v>
      </c>
      <c r="F34" s="98">
        <v>694</v>
      </c>
      <c r="G34" s="98">
        <v>623</v>
      </c>
      <c r="H34" s="121">
        <v>6071</v>
      </c>
      <c r="I34" s="99">
        <v>7170</v>
      </c>
      <c r="J34" s="100">
        <v>6548</v>
      </c>
      <c r="K34" s="121">
        <v>1403</v>
      </c>
      <c r="L34" s="99">
        <v>1661</v>
      </c>
      <c r="M34" s="100">
        <v>1568</v>
      </c>
      <c r="N34" s="121">
        <v>3994</v>
      </c>
      <c r="O34" s="99">
        <v>4481</v>
      </c>
      <c r="P34" s="99">
        <v>4121</v>
      </c>
      <c r="Q34" s="121">
        <v>5246</v>
      </c>
      <c r="R34" s="99">
        <v>5378</v>
      </c>
      <c r="S34" s="100">
        <v>4980</v>
      </c>
      <c r="T34" s="121">
        <v>5284</v>
      </c>
      <c r="U34" s="99">
        <v>5460</v>
      </c>
      <c r="V34" s="100">
        <v>5093</v>
      </c>
      <c r="W34" s="121">
        <v>9617</v>
      </c>
      <c r="X34" s="99">
        <v>8782</v>
      </c>
      <c r="Y34" s="100">
        <v>9344</v>
      </c>
      <c r="Z34" s="121">
        <v>3964</v>
      </c>
      <c r="AA34" s="98">
        <v>4095</v>
      </c>
      <c r="AB34" s="98">
        <v>3818</v>
      </c>
      <c r="AC34" s="121">
        <v>5284</v>
      </c>
      <c r="AD34" s="99">
        <v>5460</v>
      </c>
      <c r="AE34" s="100">
        <v>5093</v>
      </c>
    </row>
    <row r="35" spans="1:32" x14ac:dyDescent="0.25">
      <c r="A35" s="35" t="s">
        <v>37</v>
      </c>
      <c r="B35" s="121">
        <v>336</v>
      </c>
      <c r="C35" s="98">
        <v>278</v>
      </c>
      <c r="D35" s="100">
        <v>331</v>
      </c>
      <c r="E35" s="121">
        <v>806</v>
      </c>
      <c r="F35" s="98">
        <v>888</v>
      </c>
      <c r="G35" s="98">
        <v>797</v>
      </c>
      <c r="H35" s="121">
        <v>7771</v>
      </c>
      <c r="I35" s="99">
        <v>9178</v>
      </c>
      <c r="J35" s="100">
        <v>8381</v>
      </c>
      <c r="K35" s="121">
        <v>1795</v>
      </c>
      <c r="L35" s="99">
        <v>2126</v>
      </c>
      <c r="M35" s="100">
        <v>2006</v>
      </c>
      <c r="N35" s="121">
        <v>5112</v>
      </c>
      <c r="O35" s="99">
        <v>5736</v>
      </c>
      <c r="P35" s="99">
        <v>5275</v>
      </c>
      <c r="Q35" s="121">
        <v>6715</v>
      </c>
      <c r="R35" s="99">
        <v>6883</v>
      </c>
      <c r="S35" s="100">
        <v>6374</v>
      </c>
      <c r="T35" s="121">
        <v>6763</v>
      </c>
      <c r="U35" s="99">
        <v>6989</v>
      </c>
      <c r="V35" s="100">
        <v>6518</v>
      </c>
      <c r="W35" s="121">
        <v>13459</v>
      </c>
      <c r="X35" s="99">
        <v>13747</v>
      </c>
      <c r="Y35" s="100">
        <v>12080</v>
      </c>
      <c r="Z35" s="121">
        <v>5074</v>
      </c>
      <c r="AA35" s="98">
        <v>5242</v>
      </c>
      <c r="AB35" s="98">
        <v>4886</v>
      </c>
      <c r="AC35" s="121">
        <v>6763</v>
      </c>
      <c r="AD35" s="99">
        <v>6989</v>
      </c>
      <c r="AE35" s="100">
        <v>6518</v>
      </c>
    </row>
    <row r="36" spans="1:32" x14ac:dyDescent="0.25">
      <c r="A36" s="35" t="s">
        <v>38</v>
      </c>
      <c r="B36" s="121">
        <v>2.1</v>
      </c>
      <c r="C36" s="98">
        <v>1.74</v>
      </c>
      <c r="D36" s="100">
        <v>2.0699999999999998</v>
      </c>
      <c r="E36" s="121">
        <v>5.04</v>
      </c>
      <c r="F36" s="98">
        <v>5.55</v>
      </c>
      <c r="G36" s="98">
        <v>4.9800000000000004</v>
      </c>
      <c r="H36" s="121">
        <v>48.57</v>
      </c>
      <c r="I36" s="99">
        <v>57.36</v>
      </c>
      <c r="J36" s="100">
        <v>52.38</v>
      </c>
      <c r="K36" s="121">
        <v>11.22</v>
      </c>
      <c r="L36" s="99">
        <v>13.29</v>
      </c>
      <c r="M36" s="100">
        <v>12.54</v>
      </c>
      <c r="N36" s="121">
        <v>31.95</v>
      </c>
      <c r="O36" s="99">
        <v>35.85</v>
      </c>
      <c r="P36" s="99">
        <v>32.97</v>
      </c>
      <c r="Q36" s="121">
        <v>41.97</v>
      </c>
      <c r="R36" s="99">
        <v>43.02</v>
      </c>
      <c r="S36" s="100">
        <v>39.840000000000003</v>
      </c>
      <c r="T36" s="121">
        <v>42.27</v>
      </c>
      <c r="U36" s="99">
        <v>43.68</v>
      </c>
      <c r="V36" s="100">
        <v>40.74</v>
      </c>
      <c r="W36" s="121">
        <v>84.12</v>
      </c>
      <c r="X36" s="99">
        <v>85.92</v>
      </c>
      <c r="Y36" s="100">
        <v>75.5</v>
      </c>
      <c r="Z36" s="121">
        <v>31.71</v>
      </c>
      <c r="AA36" s="98">
        <v>32.76</v>
      </c>
      <c r="AB36" s="98">
        <v>30.54</v>
      </c>
      <c r="AC36" s="121">
        <v>42.27</v>
      </c>
      <c r="AD36" s="99">
        <v>43.68</v>
      </c>
      <c r="AE36" s="100">
        <v>40.74</v>
      </c>
    </row>
    <row r="37" spans="1:32" x14ac:dyDescent="0.25">
      <c r="A37" s="35" t="s">
        <v>39</v>
      </c>
      <c r="B37" s="121">
        <v>0.7</v>
      </c>
      <c r="C37" s="98">
        <v>0.57999999999999996</v>
      </c>
      <c r="D37" s="100">
        <v>0.69</v>
      </c>
      <c r="E37" s="121">
        <v>1.68</v>
      </c>
      <c r="F37" s="98">
        <v>1.85</v>
      </c>
      <c r="G37" s="98">
        <v>1.66</v>
      </c>
      <c r="H37" s="121">
        <v>16.190000000000001</v>
      </c>
      <c r="I37" s="99">
        <v>19.12</v>
      </c>
      <c r="J37" s="100">
        <v>17.46</v>
      </c>
      <c r="K37" s="121">
        <v>3.74</v>
      </c>
      <c r="L37" s="99">
        <v>4.43</v>
      </c>
      <c r="M37" s="100">
        <v>4.18</v>
      </c>
      <c r="N37" s="121">
        <v>10.65</v>
      </c>
      <c r="O37" s="99">
        <v>11.95</v>
      </c>
      <c r="P37" s="99">
        <v>10.99</v>
      </c>
      <c r="Q37" s="121">
        <v>13.99</v>
      </c>
      <c r="R37" s="99">
        <v>14.34</v>
      </c>
      <c r="S37" s="100">
        <v>13.28</v>
      </c>
      <c r="T37" s="121">
        <v>14.09</v>
      </c>
      <c r="U37" s="99">
        <v>14.56</v>
      </c>
      <c r="V37" s="100">
        <v>13.58</v>
      </c>
      <c r="W37" s="121">
        <v>28.04</v>
      </c>
      <c r="X37" s="99">
        <v>28.64</v>
      </c>
      <c r="Y37" s="100">
        <v>25.17</v>
      </c>
      <c r="Z37" s="121">
        <v>10.57</v>
      </c>
      <c r="AA37" s="98">
        <v>10.92</v>
      </c>
      <c r="AB37" s="98">
        <v>10.18</v>
      </c>
      <c r="AC37" s="121">
        <v>14.09</v>
      </c>
      <c r="AD37" s="99">
        <v>14.56</v>
      </c>
      <c r="AE37" s="100">
        <v>13.58</v>
      </c>
    </row>
    <row r="38" spans="1:32" x14ac:dyDescent="0.25">
      <c r="A38" s="36" t="s">
        <v>40</v>
      </c>
      <c r="B38" s="121"/>
      <c r="C38" s="98"/>
      <c r="D38" s="100"/>
      <c r="E38" s="121"/>
      <c r="F38" s="99"/>
      <c r="G38" s="100"/>
      <c r="H38" s="121"/>
      <c r="I38" s="99"/>
      <c r="J38" s="100"/>
      <c r="K38" s="121"/>
      <c r="L38" s="99"/>
      <c r="M38" s="100"/>
      <c r="N38" s="121"/>
      <c r="O38" s="99"/>
      <c r="P38" s="100"/>
      <c r="Q38" s="121"/>
      <c r="R38" s="99"/>
      <c r="S38" s="100"/>
      <c r="T38" s="121"/>
      <c r="U38" s="99"/>
      <c r="V38" s="100"/>
      <c r="W38" s="121"/>
      <c r="X38" s="99"/>
      <c r="Y38" s="100"/>
      <c r="Z38" s="121"/>
      <c r="AA38" s="99"/>
      <c r="AB38" s="100"/>
      <c r="AC38" s="121"/>
      <c r="AD38" s="99"/>
      <c r="AE38" s="100"/>
    </row>
    <row r="39" spans="1:32" x14ac:dyDescent="0.25">
      <c r="A39" s="35" t="s">
        <v>41</v>
      </c>
      <c r="B39" s="131">
        <v>2799.66</v>
      </c>
      <c r="C39" s="132">
        <v>3042.11</v>
      </c>
      <c r="D39" s="133">
        <v>3078.73</v>
      </c>
      <c r="E39" s="131">
        <v>2269.23</v>
      </c>
      <c r="F39" s="134">
        <v>2492.96</v>
      </c>
      <c r="G39" s="133">
        <v>2404.63</v>
      </c>
      <c r="H39" s="131">
        <v>1078.5899999999999</v>
      </c>
      <c r="I39" s="134">
        <v>1228.95</v>
      </c>
      <c r="J39" s="133">
        <v>1134.94</v>
      </c>
      <c r="K39" s="131">
        <v>1897.9</v>
      </c>
      <c r="L39" s="134">
        <v>2148.8200000000002</v>
      </c>
      <c r="M39" s="135">
        <v>2084.94</v>
      </c>
      <c r="N39" s="131">
        <v>1148.99</v>
      </c>
      <c r="O39" s="134">
        <v>1089.1400000000001</v>
      </c>
      <c r="P39" s="135">
        <v>1032.04</v>
      </c>
      <c r="Q39" s="131">
        <v>912.12</v>
      </c>
      <c r="R39" s="134">
        <v>887.69</v>
      </c>
      <c r="S39" s="135">
        <v>837.75</v>
      </c>
      <c r="T39" s="131">
        <v>281.63</v>
      </c>
      <c r="U39" s="134">
        <v>255.58</v>
      </c>
      <c r="V39" s="135">
        <v>251.52</v>
      </c>
      <c r="W39" s="131">
        <v>2799.66</v>
      </c>
      <c r="X39" s="134">
        <v>3042.11</v>
      </c>
      <c r="Y39" s="135">
        <v>3078.73</v>
      </c>
      <c r="Z39" s="131">
        <v>281.63</v>
      </c>
      <c r="AA39" s="134">
        <v>255.58</v>
      </c>
      <c r="AB39" s="135">
        <v>251.52</v>
      </c>
      <c r="AC39" s="131">
        <v>281.63</v>
      </c>
      <c r="AD39" s="134">
        <v>255.58</v>
      </c>
      <c r="AE39" s="135">
        <v>251.52</v>
      </c>
    </row>
    <row r="40" spans="1:32" x14ac:dyDescent="0.25">
      <c r="A40" s="35" t="s">
        <v>42</v>
      </c>
      <c r="B40" s="122"/>
      <c r="C40" s="126"/>
      <c r="D40" s="30"/>
      <c r="E40" s="122"/>
      <c r="F40" s="123"/>
      <c r="G40" s="124"/>
      <c r="H40" s="122"/>
      <c r="I40" s="123"/>
      <c r="J40" s="124"/>
      <c r="K40" s="122">
        <v>134.56</v>
      </c>
      <c r="L40" s="123">
        <v>140.85</v>
      </c>
      <c r="M40" s="124">
        <v>164.93</v>
      </c>
      <c r="N40" s="122">
        <v>134.56</v>
      </c>
      <c r="O40" s="123">
        <v>140.85</v>
      </c>
      <c r="P40" s="124">
        <v>164.93</v>
      </c>
      <c r="Q40" s="122">
        <v>134.56</v>
      </c>
      <c r="R40" s="123">
        <v>140.85</v>
      </c>
      <c r="S40" s="124">
        <v>164.93</v>
      </c>
      <c r="T40" s="122">
        <v>134.56</v>
      </c>
      <c r="U40" s="123">
        <v>140.85</v>
      </c>
      <c r="V40" s="124">
        <v>164.93</v>
      </c>
      <c r="W40" s="122">
        <v>187.88</v>
      </c>
      <c r="X40" s="123">
        <v>176.79</v>
      </c>
      <c r="Y40" s="124">
        <v>182.63</v>
      </c>
      <c r="Z40" s="122">
        <v>134.56</v>
      </c>
      <c r="AA40" s="123">
        <v>140.85</v>
      </c>
      <c r="AB40" s="124">
        <v>164.93</v>
      </c>
      <c r="AC40" s="122">
        <v>134.56</v>
      </c>
      <c r="AD40" s="123">
        <v>140.85</v>
      </c>
      <c r="AE40" s="124">
        <v>164.93</v>
      </c>
    </row>
    <row r="41" spans="1:32" x14ac:dyDescent="0.25">
      <c r="A41" s="35" t="s">
        <v>43</v>
      </c>
      <c r="B41" s="121">
        <v>77.12</v>
      </c>
      <c r="C41" s="98">
        <f t="shared" ref="C41:R43" si="4">B41</f>
        <v>77.12</v>
      </c>
      <c r="D41" s="99">
        <f t="shared" si="4"/>
        <v>77.12</v>
      </c>
      <c r="E41" s="121">
        <f t="shared" si="4"/>
        <v>77.12</v>
      </c>
      <c r="F41" s="99">
        <f t="shared" si="4"/>
        <v>77.12</v>
      </c>
      <c r="G41" s="100">
        <f t="shared" si="4"/>
        <v>77.12</v>
      </c>
      <c r="H41" s="121">
        <f t="shared" si="4"/>
        <v>77.12</v>
      </c>
      <c r="I41" s="99">
        <f t="shared" si="4"/>
        <v>77.12</v>
      </c>
      <c r="J41" s="100">
        <f t="shared" si="4"/>
        <v>77.12</v>
      </c>
      <c r="K41" s="121">
        <f t="shared" si="4"/>
        <v>77.12</v>
      </c>
      <c r="L41" s="99">
        <f t="shared" si="4"/>
        <v>77.12</v>
      </c>
      <c r="M41" s="100">
        <f t="shared" si="4"/>
        <v>77.12</v>
      </c>
      <c r="N41" s="121">
        <f t="shared" si="4"/>
        <v>77.12</v>
      </c>
      <c r="O41" s="99">
        <f t="shared" si="4"/>
        <v>77.12</v>
      </c>
      <c r="P41" s="100">
        <f t="shared" si="4"/>
        <v>77.12</v>
      </c>
      <c r="Q41" s="121">
        <f t="shared" si="4"/>
        <v>77.12</v>
      </c>
      <c r="R41" s="99">
        <f t="shared" si="4"/>
        <v>77.12</v>
      </c>
      <c r="S41" s="100">
        <f t="shared" ref="Q41:AE43" si="5">R41</f>
        <v>77.12</v>
      </c>
      <c r="T41" s="121">
        <f t="shared" si="5"/>
        <v>77.12</v>
      </c>
      <c r="U41" s="99">
        <f t="shared" si="5"/>
        <v>77.12</v>
      </c>
      <c r="V41" s="100">
        <f t="shared" si="5"/>
        <v>77.12</v>
      </c>
      <c r="W41" s="121">
        <f t="shared" si="5"/>
        <v>77.12</v>
      </c>
      <c r="X41" s="99">
        <f t="shared" si="5"/>
        <v>77.12</v>
      </c>
      <c r="Y41" s="100">
        <f t="shared" si="5"/>
        <v>77.12</v>
      </c>
      <c r="Z41" s="121">
        <f t="shared" si="5"/>
        <v>77.12</v>
      </c>
      <c r="AA41" s="99">
        <f t="shared" si="5"/>
        <v>77.12</v>
      </c>
      <c r="AB41" s="100">
        <f t="shared" si="5"/>
        <v>77.12</v>
      </c>
      <c r="AC41" s="121">
        <f>AB41</f>
        <v>77.12</v>
      </c>
      <c r="AD41" s="99">
        <f t="shared" si="5"/>
        <v>77.12</v>
      </c>
      <c r="AE41" s="100">
        <f t="shared" si="5"/>
        <v>77.12</v>
      </c>
    </row>
    <row r="42" spans="1:32" x14ac:dyDescent="0.25">
      <c r="A42" s="35" t="s">
        <v>44</v>
      </c>
      <c r="B42" s="121">
        <v>495</v>
      </c>
      <c r="C42" s="98">
        <f t="shared" si="4"/>
        <v>495</v>
      </c>
      <c r="D42" s="99">
        <f t="shared" si="4"/>
        <v>495</v>
      </c>
      <c r="E42" s="121">
        <f t="shared" si="4"/>
        <v>495</v>
      </c>
      <c r="F42" s="99">
        <f t="shared" si="4"/>
        <v>495</v>
      </c>
      <c r="G42" s="100">
        <f t="shared" si="4"/>
        <v>495</v>
      </c>
      <c r="H42" s="121">
        <f t="shared" si="4"/>
        <v>495</v>
      </c>
      <c r="I42" s="99">
        <f t="shared" si="4"/>
        <v>495</v>
      </c>
      <c r="J42" s="100">
        <f t="shared" si="4"/>
        <v>495</v>
      </c>
      <c r="K42" s="121">
        <f t="shared" si="4"/>
        <v>495</v>
      </c>
      <c r="L42" s="99">
        <f t="shared" si="4"/>
        <v>495</v>
      </c>
      <c r="M42" s="100">
        <f t="shared" si="4"/>
        <v>495</v>
      </c>
      <c r="N42" s="121">
        <f t="shared" si="4"/>
        <v>495</v>
      </c>
      <c r="O42" s="99">
        <f t="shared" si="4"/>
        <v>495</v>
      </c>
      <c r="P42" s="100">
        <f t="shared" si="4"/>
        <v>495</v>
      </c>
      <c r="Q42" s="121">
        <f t="shared" si="5"/>
        <v>495</v>
      </c>
      <c r="R42" s="99">
        <f t="shared" si="5"/>
        <v>495</v>
      </c>
      <c r="S42" s="100">
        <f t="shared" si="5"/>
        <v>495</v>
      </c>
      <c r="T42" s="121">
        <f t="shared" si="5"/>
        <v>495</v>
      </c>
      <c r="U42" s="99">
        <f t="shared" si="5"/>
        <v>495</v>
      </c>
      <c r="V42" s="100">
        <f t="shared" si="5"/>
        <v>495</v>
      </c>
      <c r="W42" s="121">
        <f t="shared" si="5"/>
        <v>495</v>
      </c>
      <c r="X42" s="99">
        <f t="shared" si="5"/>
        <v>495</v>
      </c>
      <c r="Y42" s="100">
        <f t="shared" si="5"/>
        <v>495</v>
      </c>
      <c r="Z42" s="121">
        <f t="shared" si="5"/>
        <v>495</v>
      </c>
      <c r="AA42" s="99">
        <f t="shared" si="5"/>
        <v>495</v>
      </c>
      <c r="AB42" s="100">
        <f t="shared" si="5"/>
        <v>495</v>
      </c>
      <c r="AC42" s="121">
        <f t="shared" si="5"/>
        <v>495</v>
      </c>
      <c r="AD42" s="99">
        <f t="shared" si="5"/>
        <v>495</v>
      </c>
      <c r="AE42" s="100">
        <f t="shared" si="5"/>
        <v>495</v>
      </c>
    </row>
    <row r="43" spans="1:32" x14ac:dyDescent="0.25">
      <c r="A43" s="35" t="s">
        <v>140</v>
      </c>
      <c r="B43" s="136">
        <v>13.27</v>
      </c>
      <c r="C43" s="137">
        <f t="shared" si="4"/>
        <v>13.27</v>
      </c>
      <c r="D43" s="138">
        <f t="shared" si="4"/>
        <v>13.27</v>
      </c>
      <c r="E43" s="137">
        <f t="shared" si="4"/>
        <v>13.27</v>
      </c>
      <c r="F43" s="137">
        <f t="shared" si="4"/>
        <v>13.27</v>
      </c>
      <c r="G43" s="138">
        <f t="shared" si="4"/>
        <v>13.27</v>
      </c>
      <c r="H43" s="137">
        <f t="shared" si="4"/>
        <v>13.27</v>
      </c>
      <c r="I43" s="137">
        <f t="shared" si="4"/>
        <v>13.27</v>
      </c>
      <c r="J43" s="138">
        <f t="shared" si="4"/>
        <v>13.27</v>
      </c>
      <c r="K43" s="137">
        <f t="shared" si="4"/>
        <v>13.27</v>
      </c>
      <c r="L43" s="137">
        <f t="shared" si="4"/>
        <v>13.27</v>
      </c>
      <c r="M43" s="138">
        <f t="shared" si="4"/>
        <v>13.27</v>
      </c>
      <c r="N43" s="137">
        <f t="shared" si="4"/>
        <v>13.27</v>
      </c>
      <c r="O43" s="137">
        <f t="shared" si="4"/>
        <v>13.27</v>
      </c>
      <c r="P43" s="138">
        <f t="shared" si="4"/>
        <v>13.27</v>
      </c>
      <c r="Q43" s="137">
        <f t="shared" si="5"/>
        <v>13.27</v>
      </c>
      <c r="R43" s="137">
        <f>Q43</f>
        <v>13.27</v>
      </c>
      <c r="S43" s="138">
        <f>R43</f>
        <v>13.27</v>
      </c>
      <c r="T43" s="137">
        <f>S43</f>
        <v>13.27</v>
      </c>
      <c r="U43" s="137">
        <f>T43</f>
        <v>13.27</v>
      </c>
      <c r="V43" s="138">
        <f>U43</f>
        <v>13.27</v>
      </c>
      <c r="W43" s="137">
        <f t="shared" si="5"/>
        <v>13.27</v>
      </c>
      <c r="X43" s="137">
        <f t="shared" si="5"/>
        <v>13.27</v>
      </c>
      <c r="Y43" s="138">
        <f t="shared" si="5"/>
        <v>13.27</v>
      </c>
      <c r="Z43" s="137">
        <f t="shared" si="5"/>
        <v>13.27</v>
      </c>
      <c r="AA43" s="137">
        <f>Z43</f>
        <v>13.27</v>
      </c>
      <c r="AB43" s="138">
        <f>AA43</f>
        <v>13.27</v>
      </c>
      <c r="AC43" s="137">
        <f>AB43</f>
        <v>13.27</v>
      </c>
      <c r="AD43" s="137">
        <f>AC43</f>
        <v>13.27</v>
      </c>
      <c r="AE43" s="138">
        <f>AD43</f>
        <v>13.27</v>
      </c>
    </row>
    <row r="44" spans="1:32" ht="15.75" thickBot="1" x14ac:dyDescent="0.3">
      <c r="A44" s="37" t="s">
        <v>141</v>
      </c>
      <c r="B44" s="125">
        <v>5.08</v>
      </c>
      <c r="C44" s="102">
        <f t="shared" ref="C44:AE44" si="6">B44</f>
        <v>5.08</v>
      </c>
      <c r="D44" s="104">
        <f t="shared" si="6"/>
        <v>5.08</v>
      </c>
      <c r="E44" s="102">
        <f t="shared" si="6"/>
        <v>5.08</v>
      </c>
      <c r="F44" s="103">
        <f t="shared" si="6"/>
        <v>5.08</v>
      </c>
      <c r="G44" s="104">
        <f t="shared" si="6"/>
        <v>5.08</v>
      </c>
      <c r="H44" s="125">
        <f t="shared" si="6"/>
        <v>5.08</v>
      </c>
      <c r="I44" s="103">
        <f t="shared" si="6"/>
        <v>5.08</v>
      </c>
      <c r="J44" s="104">
        <f t="shared" si="6"/>
        <v>5.08</v>
      </c>
      <c r="K44" s="125">
        <f t="shared" si="6"/>
        <v>5.08</v>
      </c>
      <c r="L44" s="103">
        <f t="shared" si="6"/>
        <v>5.08</v>
      </c>
      <c r="M44" s="104">
        <f t="shared" si="6"/>
        <v>5.08</v>
      </c>
      <c r="N44" s="102">
        <f t="shared" si="6"/>
        <v>5.08</v>
      </c>
      <c r="O44" s="103">
        <f t="shared" si="6"/>
        <v>5.08</v>
      </c>
      <c r="P44" s="104">
        <f t="shared" si="6"/>
        <v>5.08</v>
      </c>
      <c r="Q44" s="125">
        <f t="shared" si="6"/>
        <v>5.08</v>
      </c>
      <c r="R44" s="103">
        <f t="shared" si="6"/>
        <v>5.08</v>
      </c>
      <c r="S44" s="104">
        <f t="shared" si="6"/>
        <v>5.08</v>
      </c>
      <c r="T44" s="125">
        <f t="shared" si="6"/>
        <v>5.08</v>
      </c>
      <c r="U44" s="103">
        <f t="shared" si="6"/>
        <v>5.08</v>
      </c>
      <c r="V44" s="104">
        <f t="shared" si="6"/>
        <v>5.08</v>
      </c>
      <c r="W44" s="125">
        <f t="shared" ref="W44:Y44" si="7">V44</f>
        <v>5.08</v>
      </c>
      <c r="X44" s="103">
        <f t="shared" si="7"/>
        <v>5.08</v>
      </c>
      <c r="Y44" s="104">
        <f t="shared" si="7"/>
        <v>5.08</v>
      </c>
      <c r="Z44" s="125">
        <f>V44</f>
        <v>5.08</v>
      </c>
      <c r="AA44" s="103">
        <f t="shared" si="6"/>
        <v>5.08</v>
      </c>
      <c r="AB44" s="104">
        <f t="shared" si="6"/>
        <v>5.08</v>
      </c>
      <c r="AC44" s="125">
        <f t="shared" si="6"/>
        <v>5.08</v>
      </c>
      <c r="AD44" s="103">
        <f t="shared" si="6"/>
        <v>5.08</v>
      </c>
      <c r="AE44" s="105">
        <f t="shared" si="6"/>
        <v>5.08</v>
      </c>
    </row>
    <row r="45" spans="1:32" x14ac:dyDescent="0.25">
      <c r="A45" s="35" t="s">
        <v>142</v>
      </c>
      <c r="B45" s="106">
        <f>B19+B39+B41+B42</f>
        <v>4809.78</v>
      </c>
      <c r="C45" s="106">
        <f t="shared" ref="C45:AE45" si="8">C19+C39+C41+C42</f>
        <v>5052.2300000000005</v>
      </c>
      <c r="D45" s="139">
        <f t="shared" si="8"/>
        <v>5088.8499999999995</v>
      </c>
      <c r="E45" s="140">
        <f t="shared" si="8"/>
        <v>4279.3500000000004</v>
      </c>
      <c r="F45" s="106">
        <f t="shared" si="8"/>
        <v>4503.08</v>
      </c>
      <c r="G45" s="139">
        <f t="shared" si="8"/>
        <v>4414.75</v>
      </c>
      <c r="H45" s="106">
        <f t="shared" si="8"/>
        <v>3088.71</v>
      </c>
      <c r="I45" s="106">
        <f t="shared" si="8"/>
        <v>3239.0699999999997</v>
      </c>
      <c r="J45" s="139">
        <f t="shared" si="8"/>
        <v>3145.06</v>
      </c>
      <c r="K45" s="106">
        <f t="shared" si="8"/>
        <v>3908.02</v>
      </c>
      <c r="L45" s="106">
        <f t="shared" si="8"/>
        <v>4158.9400000000005</v>
      </c>
      <c r="M45" s="139">
        <f t="shared" si="8"/>
        <v>4095.06</v>
      </c>
      <c r="N45" s="140">
        <f t="shared" si="8"/>
        <v>3159.1099999999997</v>
      </c>
      <c r="O45" s="106">
        <f t="shared" si="8"/>
        <v>3099.26</v>
      </c>
      <c r="P45" s="139">
        <f t="shared" si="8"/>
        <v>3042.16</v>
      </c>
      <c r="Q45" s="106">
        <f t="shared" si="8"/>
        <v>2922.24</v>
      </c>
      <c r="R45" s="106">
        <f t="shared" si="8"/>
        <v>2897.81</v>
      </c>
      <c r="S45" s="139">
        <f t="shared" si="8"/>
        <v>2847.87</v>
      </c>
      <c r="T45" s="106">
        <f t="shared" si="8"/>
        <v>2291.75</v>
      </c>
      <c r="U45" s="106">
        <f t="shared" si="8"/>
        <v>2265.6999999999998</v>
      </c>
      <c r="V45" s="139">
        <f t="shared" si="8"/>
        <v>2261.64</v>
      </c>
      <c r="W45" s="106">
        <f>W19+W39+W41+W42</f>
        <v>4809.78</v>
      </c>
      <c r="X45" s="106">
        <f>X19+X39+X41+X42</f>
        <v>5052.2300000000005</v>
      </c>
      <c r="Y45" s="139">
        <f>Y19+Y39+Y41+Y42</f>
        <v>5088.8499999999995</v>
      </c>
      <c r="Z45" s="106">
        <f t="shared" si="8"/>
        <v>2291.75</v>
      </c>
      <c r="AA45" s="106">
        <f t="shared" si="8"/>
        <v>2265.6999999999998</v>
      </c>
      <c r="AB45" s="139">
        <f t="shared" si="8"/>
        <v>2261.64</v>
      </c>
      <c r="AC45" s="106">
        <f t="shared" si="8"/>
        <v>2291.75</v>
      </c>
      <c r="AD45" s="106">
        <f t="shared" si="8"/>
        <v>2265.6999999999998</v>
      </c>
      <c r="AE45" s="141">
        <f t="shared" si="8"/>
        <v>2261.64</v>
      </c>
    </row>
    <row r="46" spans="1:32" ht="15.75" thickBot="1" x14ac:dyDescent="0.3">
      <c r="A46" s="38" t="s">
        <v>143</v>
      </c>
      <c r="B46" s="107"/>
      <c r="C46" s="107"/>
      <c r="D46" s="108"/>
      <c r="E46" s="107"/>
      <c r="F46" s="107"/>
      <c r="G46" s="108"/>
      <c r="H46" s="107"/>
      <c r="I46" s="107"/>
      <c r="J46" s="108"/>
      <c r="K46" s="107">
        <f>K19+K40+K41+K42</f>
        <v>2144.6799999999998</v>
      </c>
      <c r="L46" s="107">
        <f t="shared" ref="L46:AE46" si="9">L19+L40+L41+L42</f>
        <v>2150.9699999999998</v>
      </c>
      <c r="M46" s="108">
        <f t="shared" si="9"/>
        <v>2175.0500000000002</v>
      </c>
      <c r="N46" s="142">
        <f t="shared" si="9"/>
        <v>2144.6799999999998</v>
      </c>
      <c r="O46" s="107">
        <f t="shared" si="9"/>
        <v>2150.9699999999998</v>
      </c>
      <c r="P46" s="108">
        <f t="shared" si="9"/>
        <v>2175.0500000000002</v>
      </c>
      <c r="Q46" s="107">
        <f t="shared" si="9"/>
        <v>2144.6799999999998</v>
      </c>
      <c r="R46" s="107">
        <f t="shared" si="9"/>
        <v>2150.9699999999998</v>
      </c>
      <c r="S46" s="108">
        <f t="shared" si="9"/>
        <v>2175.0500000000002</v>
      </c>
      <c r="T46" s="107">
        <f t="shared" si="9"/>
        <v>2144.6799999999998</v>
      </c>
      <c r="U46" s="107">
        <f t="shared" si="9"/>
        <v>2150.9699999999998</v>
      </c>
      <c r="V46" s="108">
        <f t="shared" si="9"/>
        <v>2175.0500000000002</v>
      </c>
      <c r="W46" s="107">
        <f>W19+W40+W41+W42</f>
        <v>2198</v>
      </c>
      <c r="X46" s="107">
        <f>X19+X40+X41+X42</f>
        <v>2186.91</v>
      </c>
      <c r="Y46" s="108">
        <f>Y19+Y40+Y41+Y42</f>
        <v>2192.75</v>
      </c>
      <c r="Z46" s="107">
        <f t="shared" si="9"/>
        <v>2144.6799999999998</v>
      </c>
      <c r="AA46" s="107">
        <f t="shared" si="9"/>
        <v>2150.9699999999998</v>
      </c>
      <c r="AB46" s="108">
        <f t="shared" si="9"/>
        <v>2175.0500000000002</v>
      </c>
      <c r="AC46" s="107">
        <f t="shared" si="9"/>
        <v>2144.6799999999998</v>
      </c>
      <c r="AD46" s="107">
        <f t="shared" si="9"/>
        <v>2150.9699999999998</v>
      </c>
      <c r="AE46" s="143">
        <f t="shared" si="9"/>
        <v>2175.0500000000002</v>
      </c>
    </row>
    <row r="47" spans="1:32" ht="17.25" thickTop="1" x14ac:dyDescent="0.25">
      <c r="A47" s="12" t="s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.75" thickBo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8" thickTop="1" thickBot="1" x14ac:dyDescent="0.3">
      <c r="A49" s="14"/>
      <c r="B49" s="39" t="s">
        <v>46</v>
      </c>
      <c r="C49" s="15"/>
      <c r="D49" s="150"/>
      <c r="E49" s="39" t="s">
        <v>47</v>
      </c>
      <c r="F49" s="15"/>
      <c r="G49" s="150"/>
      <c r="H49" s="39" t="s">
        <v>48</v>
      </c>
      <c r="I49" s="15"/>
      <c r="J49" s="150"/>
      <c r="K49" s="39" t="s">
        <v>49</v>
      </c>
      <c r="L49" s="15"/>
      <c r="M49" s="150"/>
      <c r="N49" s="39" t="s">
        <v>168</v>
      </c>
      <c r="O49" s="15"/>
      <c r="P49" s="150"/>
      <c r="Q49" s="39" t="s">
        <v>134</v>
      </c>
      <c r="R49" s="15"/>
      <c r="S49" s="150"/>
      <c r="T49" s="39" t="s">
        <v>50</v>
      </c>
      <c r="U49" s="15"/>
      <c r="V49" s="150"/>
      <c r="W49" s="39" t="s">
        <v>51</v>
      </c>
      <c r="X49" s="15"/>
      <c r="Y49" s="150"/>
      <c r="Z49" s="39" t="s">
        <v>147</v>
      </c>
      <c r="AA49" s="15"/>
      <c r="AB49" s="17"/>
      <c r="AC49" s="10"/>
      <c r="AD49" s="10"/>
      <c r="AE49" s="10"/>
      <c r="AF49" s="10"/>
    </row>
    <row r="50" spans="1:32" ht="16.5" x14ac:dyDescent="0.25">
      <c r="A50" s="18" t="s">
        <v>18</v>
      </c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  <c r="W50" s="19"/>
      <c r="X50" s="20"/>
      <c r="Y50" s="21"/>
      <c r="Z50" s="19"/>
      <c r="AA50" s="20"/>
      <c r="AB50" s="23"/>
      <c r="AC50" s="12"/>
      <c r="AD50" s="10"/>
      <c r="AE50" s="10"/>
      <c r="AF50" s="12"/>
    </row>
    <row r="51" spans="1:32" x14ac:dyDescent="0.25">
      <c r="A51" s="24" t="s">
        <v>19</v>
      </c>
      <c r="B51" s="82">
        <v>1438</v>
      </c>
      <c r="C51" s="83">
        <f>B51</f>
        <v>1438</v>
      </c>
      <c r="D51" s="151">
        <f>C51</f>
        <v>1438</v>
      </c>
      <c r="E51" s="83">
        <f>D51</f>
        <v>1438</v>
      </c>
      <c r="F51" s="83">
        <f>E51</f>
        <v>1438</v>
      </c>
      <c r="G51" s="151">
        <f>F51</f>
        <v>1438</v>
      </c>
      <c r="H51" s="82">
        <v>1438</v>
      </c>
      <c r="I51" s="83">
        <f>H51</f>
        <v>1438</v>
      </c>
      <c r="J51" s="151">
        <f t="shared" ref="J51:P51" si="10">I51</f>
        <v>1438</v>
      </c>
      <c r="K51" s="83">
        <f t="shared" si="10"/>
        <v>1438</v>
      </c>
      <c r="L51" s="83">
        <f t="shared" si="10"/>
        <v>1438</v>
      </c>
      <c r="M51" s="151">
        <f t="shared" si="10"/>
        <v>1438</v>
      </c>
      <c r="N51" s="83">
        <f t="shared" si="10"/>
        <v>1438</v>
      </c>
      <c r="O51" s="83">
        <f t="shared" si="10"/>
        <v>1438</v>
      </c>
      <c r="P51" s="151">
        <f t="shared" si="10"/>
        <v>1438</v>
      </c>
      <c r="Q51" s="83">
        <f t="shared" ref="Q51" si="11">P51</f>
        <v>1438</v>
      </c>
      <c r="R51" s="83">
        <f t="shared" ref="R51:R52" si="12">Q51</f>
        <v>1438</v>
      </c>
      <c r="S51" s="151">
        <f t="shared" ref="S51:S52" si="13">R51</f>
        <v>1438</v>
      </c>
      <c r="T51" s="82">
        <f>S51</f>
        <v>1438</v>
      </c>
      <c r="U51" s="83">
        <f>T51</f>
        <v>1438</v>
      </c>
      <c r="V51" s="151">
        <f t="shared" ref="V51:V52" si="14">U51</f>
        <v>1438</v>
      </c>
      <c r="W51" s="83">
        <v>1438</v>
      </c>
      <c r="X51" s="83">
        <f t="shared" ref="X51:X52" si="15">W51</f>
        <v>1438</v>
      </c>
      <c r="Y51" s="151">
        <f t="shared" ref="Y51:Y52" si="16">X51</f>
        <v>1438</v>
      </c>
      <c r="Z51" s="152">
        <f t="shared" ref="Z51:Z52" si="17">Y51</f>
        <v>1438</v>
      </c>
      <c r="AA51" s="83">
        <f t="shared" ref="AA51:AA52" si="18">Z51</f>
        <v>1438</v>
      </c>
      <c r="AB51" s="153">
        <f t="shared" ref="AB51:AB52" si="19">AA51</f>
        <v>1438</v>
      </c>
      <c r="AC51" s="10"/>
      <c r="AD51" s="10"/>
      <c r="AE51" s="10"/>
      <c r="AF51" s="10"/>
    </row>
    <row r="52" spans="1:32" ht="15.75" thickBot="1" x14ac:dyDescent="0.3">
      <c r="A52" s="25" t="s">
        <v>20</v>
      </c>
      <c r="B52" s="84">
        <f>B20</f>
        <v>0</v>
      </c>
      <c r="C52" s="85">
        <f>B52</f>
        <v>0</v>
      </c>
      <c r="D52" s="86">
        <f t="shared" ref="D52:P52" si="20">C52</f>
        <v>0</v>
      </c>
      <c r="E52" s="84">
        <f t="shared" si="20"/>
        <v>0</v>
      </c>
      <c r="F52" s="85">
        <f t="shared" si="20"/>
        <v>0</v>
      </c>
      <c r="G52" s="86">
        <f t="shared" si="20"/>
        <v>0</v>
      </c>
      <c r="H52" s="84">
        <f t="shared" si="20"/>
        <v>0</v>
      </c>
      <c r="I52" s="85">
        <f t="shared" si="20"/>
        <v>0</v>
      </c>
      <c r="J52" s="86">
        <f t="shared" si="20"/>
        <v>0</v>
      </c>
      <c r="K52" s="84">
        <f t="shared" si="20"/>
        <v>0</v>
      </c>
      <c r="L52" s="85">
        <f t="shared" si="20"/>
        <v>0</v>
      </c>
      <c r="M52" s="86">
        <f t="shared" si="20"/>
        <v>0</v>
      </c>
      <c r="N52" s="84">
        <f>M52</f>
        <v>0</v>
      </c>
      <c r="O52" s="85">
        <f t="shared" si="20"/>
        <v>0</v>
      </c>
      <c r="P52" s="86">
        <f t="shared" si="20"/>
        <v>0</v>
      </c>
      <c r="Q52" s="84">
        <f>P52</f>
        <v>0</v>
      </c>
      <c r="R52" s="85">
        <f t="shared" si="12"/>
        <v>0</v>
      </c>
      <c r="S52" s="86">
        <f t="shared" si="13"/>
        <v>0</v>
      </c>
      <c r="T52" s="84">
        <f t="shared" ref="T52" si="21">S52</f>
        <v>0</v>
      </c>
      <c r="U52" s="85">
        <f t="shared" ref="U52" si="22">T52</f>
        <v>0</v>
      </c>
      <c r="V52" s="86">
        <f t="shared" si="14"/>
        <v>0</v>
      </c>
      <c r="W52" s="84">
        <f t="shared" ref="W52" si="23">V52</f>
        <v>0</v>
      </c>
      <c r="X52" s="85">
        <f t="shared" si="15"/>
        <v>0</v>
      </c>
      <c r="Y52" s="86">
        <f t="shared" si="16"/>
        <v>0</v>
      </c>
      <c r="Z52" s="84">
        <f t="shared" si="17"/>
        <v>0</v>
      </c>
      <c r="AA52" s="85">
        <f t="shared" si="18"/>
        <v>0</v>
      </c>
      <c r="AB52" s="87">
        <f t="shared" si="19"/>
        <v>0</v>
      </c>
      <c r="AC52" s="10"/>
      <c r="AD52" s="10"/>
      <c r="AE52" s="10"/>
      <c r="AF52" s="10"/>
    </row>
    <row r="53" spans="1:32" x14ac:dyDescent="0.25">
      <c r="A53" s="18" t="s">
        <v>21</v>
      </c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20"/>
      <c r="AA53" s="20"/>
      <c r="AB53" s="23"/>
      <c r="AC53" s="10"/>
      <c r="AD53" s="10"/>
      <c r="AE53" s="10"/>
      <c r="AF53" s="10"/>
    </row>
    <row r="54" spans="1:32" x14ac:dyDescent="0.25">
      <c r="A54" s="27" t="s">
        <v>22</v>
      </c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29"/>
      <c r="AA54" s="29"/>
      <c r="AB54" s="31"/>
      <c r="AC54" s="10"/>
      <c r="AD54" s="10"/>
      <c r="AE54" s="10"/>
      <c r="AF54" s="10"/>
    </row>
    <row r="55" spans="1:32" x14ac:dyDescent="0.25">
      <c r="A55" s="32"/>
      <c r="B55" s="94" t="s">
        <v>25</v>
      </c>
      <c r="C55" s="95" t="s">
        <v>23</v>
      </c>
      <c r="D55" s="96" t="s">
        <v>24</v>
      </c>
      <c r="E55" s="94" t="s">
        <v>25</v>
      </c>
      <c r="F55" s="95" t="s">
        <v>23</v>
      </c>
      <c r="G55" s="96" t="s">
        <v>24</v>
      </c>
      <c r="H55" s="95" t="s">
        <v>25</v>
      </c>
      <c r="I55" s="95" t="s">
        <v>23</v>
      </c>
      <c r="J55" s="96" t="s">
        <v>24</v>
      </c>
      <c r="K55" s="95" t="s">
        <v>25</v>
      </c>
      <c r="L55" s="95" t="s">
        <v>23</v>
      </c>
      <c r="M55" s="96" t="s">
        <v>24</v>
      </c>
      <c r="N55" s="95" t="s">
        <v>25</v>
      </c>
      <c r="O55" s="95" t="s">
        <v>23</v>
      </c>
      <c r="P55" s="96" t="s">
        <v>24</v>
      </c>
      <c r="Q55" s="95" t="s">
        <v>25</v>
      </c>
      <c r="R55" s="95" t="s">
        <v>23</v>
      </c>
      <c r="S55" s="96" t="s">
        <v>24</v>
      </c>
      <c r="T55" s="95" t="s">
        <v>25</v>
      </c>
      <c r="U55" s="95" t="s">
        <v>23</v>
      </c>
      <c r="V55" s="96" t="s">
        <v>24</v>
      </c>
      <c r="W55" s="95" t="s">
        <v>25</v>
      </c>
      <c r="X55" s="95" t="s">
        <v>23</v>
      </c>
      <c r="Y55" s="97" t="s">
        <v>24</v>
      </c>
      <c r="Z55" s="33" t="s">
        <v>25</v>
      </c>
      <c r="AA55" s="33" t="s">
        <v>23</v>
      </c>
      <c r="AB55" s="34" t="s">
        <v>24</v>
      </c>
      <c r="AC55" s="10"/>
      <c r="AD55" s="10"/>
      <c r="AE55" s="10"/>
      <c r="AF55" s="10"/>
    </row>
    <row r="56" spans="1:32" x14ac:dyDescent="0.25">
      <c r="A56" s="35" t="s">
        <v>26</v>
      </c>
      <c r="B56" s="121">
        <v>14</v>
      </c>
      <c r="C56" s="98">
        <v>12</v>
      </c>
      <c r="D56" s="100">
        <v>14</v>
      </c>
      <c r="E56" s="121">
        <v>41</v>
      </c>
      <c r="F56" s="99">
        <v>40</v>
      </c>
      <c r="G56" s="100">
        <v>41</v>
      </c>
      <c r="H56" s="121">
        <v>54</v>
      </c>
      <c r="I56" s="99">
        <v>52</v>
      </c>
      <c r="J56" s="100">
        <v>50</v>
      </c>
      <c r="K56" s="121">
        <v>91</v>
      </c>
      <c r="L56" s="99">
        <v>97</v>
      </c>
      <c r="M56" s="100">
        <v>89</v>
      </c>
      <c r="N56" s="121">
        <v>54</v>
      </c>
      <c r="O56" s="99">
        <v>52</v>
      </c>
      <c r="P56" s="100">
        <v>50</v>
      </c>
      <c r="Q56" s="121">
        <v>120</v>
      </c>
      <c r="R56" s="99">
        <v>113</v>
      </c>
      <c r="S56" s="100">
        <v>104</v>
      </c>
      <c r="T56" s="121">
        <v>141</v>
      </c>
      <c r="U56" s="99">
        <v>128</v>
      </c>
      <c r="V56" s="100">
        <v>114</v>
      </c>
      <c r="W56" s="121">
        <v>141</v>
      </c>
      <c r="X56" s="99">
        <v>128</v>
      </c>
      <c r="Y56" s="100">
        <v>114</v>
      </c>
      <c r="Z56" s="121">
        <v>118</v>
      </c>
      <c r="AA56" s="99">
        <v>113</v>
      </c>
      <c r="AB56" s="101">
        <v>128</v>
      </c>
      <c r="AC56" s="10"/>
      <c r="AD56" s="10"/>
      <c r="AE56" s="10"/>
      <c r="AF56" s="10"/>
    </row>
    <row r="57" spans="1:32" x14ac:dyDescent="0.25">
      <c r="A57" s="35" t="s">
        <v>27</v>
      </c>
      <c r="B57" s="121">
        <v>23</v>
      </c>
      <c r="C57" s="98">
        <v>19</v>
      </c>
      <c r="D57" s="100">
        <v>22</v>
      </c>
      <c r="E57" s="121">
        <v>65</v>
      </c>
      <c r="F57" s="99">
        <v>63</v>
      </c>
      <c r="G57" s="100">
        <v>66</v>
      </c>
      <c r="H57" s="121">
        <v>87</v>
      </c>
      <c r="I57" s="99">
        <v>83</v>
      </c>
      <c r="J57" s="100">
        <v>80</v>
      </c>
      <c r="K57" s="121">
        <v>145</v>
      </c>
      <c r="L57" s="99">
        <v>155</v>
      </c>
      <c r="M57" s="100">
        <v>143</v>
      </c>
      <c r="N57" s="121">
        <v>87</v>
      </c>
      <c r="O57" s="99">
        <v>83</v>
      </c>
      <c r="P57" s="100">
        <v>80</v>
      </c>
      <c r="Q57" s="121">
        <v>192</v>
      </c>
      <c r="R57" s="99">
        <v>181</v>
      </c>
      <c r="S57" s="100">
        <v>166</v>
      </c>
      <c r="T57" s="121">
        <v>226</v>
      </c>
      <c r="U57" s="99">
        <v>205</v>
      </c>
      <c r="V57" s="100">
        <v>183</v>
      </c>
      <c r="W57" s="121">
        <v>226</v>
      </c>
      <c r="X57" s="99">
        <v>205</v>
      </c>
      <c r="Y57" s="100">
        <v>183</v>
      </c>
      <c r="Z57" s="121">
        <v>189</v>
      </c>
      <c r="AA57" s="99">
        <v>181</v>
      </c>
      <c r="AB57" s="101">
        <v>205</v>
      </c>
      <c r="AC57" s="10"/>
      <c r="AD57" s="10"/>
      <c r="AE57" s="10"/>
      <c r="AF57" s="10"/>
    </row>
    <row r="58" spans="1:32" x14ac:dyDescent="0.25">
      <c r="A58" s="35" t="s">
        <v>28</v>
      </c>
      <c r="B58" s="121">
        <v>29</v>
      </c>
      <c r="C58" s="98">
        <v>23</v>
      </c>
      <c r="D58" s="100">
        <v>28</v>
      </c>
      <c r="E58" s="121">
        <v>82</v>
      </c>
      <c r="F58" s="99">
        <v>79</v>
      </c>
      <c r="G58" s="100">
        <v>82</v>
      </c>
      <c r="H58" s="121">
        <v>109</v>
      </c>
      <c r="I58" s="99">
        <v>103</v>
      </c>
      <c r="J58" s="100">
        <v>100</v>
      </c>
      <c r="K58" s="121">
        <v>181</v>
      </c>
      <c r="L58" s="99">
        <v>193</v>
      </c>
      <c r="M58" s="100">
        <v>178</v>
      </c>
      <c r="N58" s="121">
        <v>109</v>
      </c>
      <c r="O58" s="99">
        <v>103</v>
      </c>
      <c r="P58" s="100">
        <v>100</v>
      </c>
      <c r="Q58" s="121">
        <v>240</v>
      </c>
      <c r="R58" s="99">
        <v>226</v>
      </c>
      <c r="S58" s="100">
        <v>208</v>
      </c>
      <c r="T58" s="121">
        <v>283</v>
      </c>
      <c r="U58" s="99">
        <v>257</v>
      </c>
      <c r="V58" s="100">
        <v>229</v>
      </c>
      <c r="W58" s="121">
        <v>283</v>
      </c>
      <c r="X58" s="99">
        <v>257</v>
      </c>
      <c r="Y58" s="100">
        <v>229</v>
      </c>
      <c r="Z58" s="121">
        <v>236</v>
      </c>
      <c r="AA58" s="99">
        <v>226</v>
      </c>
      <c r="AB58" s="101">
        <v>256</v>
      </c>
      <c r="AC58" s="10"/>
      <c r="AD58" s="10"/>
      <c r="AE58" s="10"/>
      <c r="AF58" s="10"/>
    </row>
    <row r="59" spans="1:32" x14ac:dyDescent="0.25">
      <c r="A59" s="35" t="s">
        <v>29</v>
      </c>
      <c r="B59" s="121">
        <v>36</v>
      </c>
      <c r="C59" s="98">
        <v>29</v>
      </c>
      <c r="D59" s="100">
        <v>35</v>
      </c>
      <c r="E59" s="121">
        <v>102</v>
      </c>
      <c r="F59" s="99">
        <v>99</v>
      </c>
      <c r="G59" s="100">
        <v>103</v>
      </c>
      <c r="H59" s="121">
        <v>136</v>
      </c>
      <c r="I59" s="99">
        <v>129</v>
      </c>
      <c r="J59" s="100">
        <v>125</v>
      </c>
      <c r="K59" s="121">
        <v>227</v>
      </c>
      <c r="L59" s="99">
        <v>242</v>
      </c>
      <c r="M59" s="100">
        <v>223</v>
      </c>
      <c r="N59" s="121">
        <v>136</v>
      </c>
      <c r="O59" s="99">
        <v>129</v>
      </c>
      <c r="P59" s="100">
        <v>125</v>
      </c>
      <c r="Q59" s="121">
        <v>300</v>
      </c>
      <c r="R59" s="99">
        <v>283</v>
      </c>
      <c r="S59" s="100">
        <v>260</v>
      </c>
      <c r="T59" s="121">
        <v>353</v>
      </c>
      <c r="U59" s="99">
        <v>321</v>
      </c>
      <c r="V59" s="100">
        <v>286</v>
      </c>
      <c r="W59" s="121">
        <v>353</v>
      </c>
      <c r="X59" s="99">
        <v>321</v>
      </c>
      <c r="Y59" s="100">
        <v>286</v>
      </c>
      <c r="Z59" s="121">
        <v>295</v>
      </c>
      <c r="AA59" s="99">
        <v>283</v>
      </c>
      <c r="AB59" s="101">
        <v>320</v>
      </c>
      <c r="AC59" s="10"/>
      <c r="AD59" s="10"/>
      <c r="AE59" s="10"/>
      <c r="AF59" s="10"/>
    </row>
    <row r="60" spans="1:32" x14ac:dyDescent="0.25">
      <c r="A60" s="35" t="s">
        <v>30</v>
      </c>
      <c r="B60" s="121">
        <v>46</v>
      </c>
      <c r="C60" s="98">
        <v>37</v>
      </c>
      <c r="D60" s="100">
        <v>44</v>
      </c>
      <c r="E60" s="121">
        <v>131</v>
      </c>
      <c r="F60" s="99">
        <v>127</v>
      </c>
      <c r="G60" s="100">
        <v>132</v>
      </c>
      <c r="H60" s="121">
        <v>174</v>
      </c>
      <c r="I60" s="99">
        <v>165</v>
      </c>
      <c r="J60" s="100">
        <v>160</v>
      </c>
      <c r="K60" s="121">
        <v>290</v>
      </c>
      <c r="L60" s="99">
        <v>309</v>
      </c>
      <c r="M60" s="100">
        <v>285</v>
      </c>
      <c r="N60" s="121">
        <v>174</v>
      </c>
      <c r="O60" s="99">
        <v>165</v>
      </c>
      <c r="P60" s="100">
        <v>160</v>
      </c>
      <c r="Q60" s="121">
        <v>384</v>
      </c>
      <c r="R60" s="99">
        <v>362</v>
      </c>
      <c r="S60" s="100">
        <v>332</v>
      </c>
      <c r="T60" s="121">
        <v>452</v>
      </c>
      <c r="U60" s="99">
        <v>411</v>
      </c>
      <c r="V60" s="100">
        <v>366</v>
      </c>
      <c r="W60" s="121">
        <v>452</v>
      </c>
      <c r="X60" s="99">
        <v>411</v>
      </c>
      <c r="Y60" s="100">
        <v>366</v>
      </c>
      <c r="Z60" s="121">
        <v>377</v>
      </c>
      <c r="AA60" s="99">
        <v>362</v>
      </c>
      <c r="AB60" s="101">
        <v>410</v>
      </c>
      <c r="AC60" s="10"/>
      <c r="AD60" s="10"/>
      <c r="AE60" s="10"/>
      <c r="AF60" s="10"/>
    </row>
    <row r="61" spans="1:32" x14ac:dyDescent="0.25">
      <c r="A61" s="35" t="s">
        <v>31</v>
      </c>
      <c r="B61" s="121">
        <v>58</v>
      </c>
      <c r="C61" s="98">
        <v>47</v>
      </c>
      <c r="D61" s="100">
        <v>55</v>
      </c>
      <c r="E61" s="121">
        <v>163</v>
      </c>
      <c r="F61" s="99">
        <v>158</v>
      </c>
      <c r="G61" s="100">
        <v>164</v>
      </c>
      <c r="H61" s="121">
        <v>217</v>
      </c>
      <c r="I61" s="99">
        <v>206</v>
      </c>
      <c r="J61" s="100">
        <v>200</v>
      </c>
      <c r="K61" s="121">
        <v>362</v>
      </c>
      <c r="L61" s="99">
        <v>386</v>
      </c>
      <c r="M61" s="100">
        <v>356</v>
      </c>
      <c r="N61" s="121">
        <v>217</v>
      </c>
      <c r="O61" s="99">
        <v>206</v>
      </c>
      <c r="P61" s="100">
        <v>200</v>
      </c>
      <c r="Q61" s="121">
        <v>480</v>
      </c>
      <c r="R61" s="99">
        <v>452</v>
      </c>
      <c r="S61" s="100">
        <v>415</v>
      </c>
      <c r="T61" s="121">
        <v>565</v>
      </c>
      <c r="U61" s="99">
        <v>514</v>
      </c>
      <c r="V61" s="100">
        <v>457</v>
      </c>
      <c r="W61" s="121">
        <v>565</v>
      </c>
      <c r="X61" s="99">
        <v>514</v>
      </c>
      <c r="Y61" s="100">
        <v>457</v>
      </c>
      <c r="Z61" s="121">
        <v>485</v>
      </c>
      <c r="AA61" s="99">
        <v>462</v>
      </c>
      <c r="AB61" s="101">
        <v>519</v>
      </c>
      <c r="AC61" s="10"/>
      <c r="AD61" s="10"/>
      <c r="AE61" s="10"/>
      <c r="AF61" s="10"/>
    </row>
    <row r="62" spans="1:32" x14ac:dyDescent="0.25">
      <c r="A62" s="35" t="s">
        <v>32</v>
      </c>
      <c r="B62" s="121">
        <v>72</v>
      </c>
      <c r="C62" s="98">
        <v>59</v>
      </c>
      <c r="D62" s="100">
        <v>69</v>
      </c>
      <c r="E62" s="121">
        <v>204</v>
      </c>
      <c r="F62" s="99">
        <v>198</v>
      </c>
      <c r="G62" s="100">
        <v>206</v>
      </c>
      <c r="H62" s="121">
        <v>272</v>
      </c>
      <c r="I62" s="99">
        <v>258</v>
      </c>
      <c r="J62" s="100">
        <v>251</v>
      </c>
      <c r="K62" s="121">
        <v>453</v>
      </c>
      <c r="L62" s="99">
        <v>483</v>
      </c>
      <c r="M62" s="100">
        <v>446</v>
      </c>
      <c r="N62" s="121">
        <v>272</v>
      </c>
      <c r="O62" s="99">
        <v>258</v>
      </c>
      <c r="P62" s="100">
        <v>251</v>
      </c>
      <c r="Q62" s="121">
        <v>600</v>
      </c>
      <c r="R62" s="99">
        <v>566</v>
      </c>
      <c r="S62" s="100">
        <v>519</v>
      </c>
      <c r="T62" s="121">
        <v>707</v>
      </c>
      <c r="U62" s="99">
        <v>642</v>
      </c>
      <c r="V62" s="100">
        <v>572</v>
      </c>
      <c r="W62" s="121">
        <v>707</v>
      </c>
      <c r="X62" s="99">
        <v>642</v>
      </c>
      <c r="Y62" s="100">
        <v>572</v>
      </c>
      <c r="Z62" s="121">
        <v>728</v>
      </c>
      <c r="AA62" s="99">
        <v>690</v>
      </c>
      <c r="AB62" s="101">
        <v>784</v>
      </c>
      <c r="AC62" s="10"/>
      <c r="AD62" s="10"/>
      <c r="AE62" s="10"/>
      <c r="AF62" s="10"/>
    </row>
    <row r="63" spans="1:32" x14ac:dyDescent="0.25">
      <c r="A63" s="35" t="s">
        <v>33</v>
      </c>
      <c r="B63" s="121">
        <v>91</v>
      </c>
      <c r="C63" s="98">
        <v>74</v>
      </c>
      <c r="D63" s="100">
        <v>87</v>
      </c>
      <c r="E63" s="121">
        <v>257</v>
      </c>
      <c r="F63" s="99">
        <v>249</v>
      </c>
      <c r="G63" s="100">
        <v>259</v>
      </c>
      <c r="H63" s="121">
        <v>342</v>
      </c>
      <c r="I63" s="99">
        <v>325</v>
      </c>
      <c r="J63" s="100">
        <v>316</v>
      </c>
      <c r="K63" s="121">
        <v>571</v>
      </c>
      <c r="L63" s="99">
        <v>609</v>
      </c>
      <c r="M63" s="100">
        <v>561</v>
      </c>
      <c r="N63" s="121">
        <v>342</v>
      </c>
      <c r="O63" s="99">
        <v>325</v>
      </c>
      <c r="P63" s="100">
        <v>316</v>
      </c>
      <c r="Q63" s="121">
        <v>756</v>
      </c>
      <c r="R63" s="99">
        <v>713</v>
      </c>
      <c r="S63" s="100">
        <v>654</v>
      </c>
      <c r="T63" s="121">
        <v>890</v>
      </c>
      <c r="U63" s="99">
        <v>809</v>
      </c>
      <c r="V63" s="100">
        <v>720</v>
      </c>
      <c r="W63" s="121">
        <v>890</v>
      </c>
      <c r="X63" s="99">
        <v>809</v>
      </c>
      <c r="Y63" s="100">
        <v>720</v>
      </c>
      <c r="Z63" s="121">
        <v>1069</v>
      </c>
      <c r="AA63" s="99">
        <v>1011</v>
      </c>
      <c r="AB63" s="101">
        <v>1156</v>
      </c>
      <c r="AC63" s="10"/>
      <c r="AD63" s="10"/>
      <c r="AE63" s="10"/>
      <c r="AF63" s="10"/>
    </row>
    <row r="64" spans="1:32" x14ac:dyDescent="0.25">
      <c r="A64" s="35" t="s">
        <v>34</v>
      </c>
      <c r="B64" s="100"/>
      <c r="C64" s="99"/>
      <c r="D64" s="100"/>
      <c r="E64" s="100"/>
      <c r="F64" s="99"/>
      <c r="G64" s="100"/>
      <c r="H64" s="121"/>
      <c r="I64" s="99"/>
      <c r="J64" s="100"/>
      <c r="K64" s="121"/>
      <c r="L64" s="99"/>
      <c r="M64" s="100"/>
      <c r="N64" s="121"/>
      <c r="O64" s="99"/>
      <c r="P64" s="100"/>
      <c r="Q64" s="121"/>
      <c r="R64" s="99"/>
      <c r="S64" s="100"/>
      <c r="T64" s="121"/>
      <c r="U64" s="99"/>
      <c r="V64" s="100"/>
      <c r="W64" s="121"/>
      <c r="X64" s="99"/>
      <c r="Y64" s="100"/>
      <c r="Z64" s="121">
        <v>1770</v>
      </c>
      <c r="AA64" s="99">
        <v>1664</v>
      </c>
      <c r="AB64" s="101">
        <v>1916</v>
      </c>
      <c r="AC64" s="10"/>
      <c r="AD64" s="10"/>
      <c r="AE64" s="10"/>
      <c r="AF64" s="10"/>
    </row>
    <row r="65" spans="1:32" x14ac:dyDescent="0.25">
      <c r="A65" s="35" t="s">
        <v>35</v>
      </c>
      <c r="B65" s="100"/>
      <c r="C65" s="99"/>
      <c r="D65" s="100"/>
      <c r="E65" s="100"/>
      <c r="F65" s="99"/>
      <c r="G65" s="100"/>
      <c r="H65" s="121"/>
      <c r="I65" s="99"/>
      <c r="J65" s="100"/>
      <c r="K65" s="121"/>
      <c r="L65" s="99"/>
      <c r="M65" s="100"/>
      <c r="N65" s="121"/>
      <c r="O65" s="99"/>
      <c r="P65" s="100"/>
      <c r="Q65" s="121"/>
      <c r="R65" s="99"/>
      <c r="S65" s="100"/>
      <c r="T65" s="121"/>
      <c r="U65" s="99"/>
      <c r="V65" s="100"/>
      <c r="W65" s="121"/>
      <c r="X65" s="99"/>
      <c r="Y65" s="100"/>
      <c r="Z65" s="121">
        <v>3267</v>
      </c>
      <c r="AA65" s="99">
        <v>3061</v>
      </c>
      <c r="AB65" s="101">
        <v>3542</v>
      </c>
      <c r="AC65" s="10"/>
      <c r="AD65" s="10"/>
      <c r="AE65" s="10"/>
      <c r="AF65" s="10"/>
    </row>
    <row r="66" spans="1:32" x14ac:dyDescent="0.25">
      <c r="A66" s="35" t="s">
        <v>36</v>
      </c>
      <c r="B66" s="100"/>
      <c r="C66" s="99"/>
      <c r="D66" s="100"/>
      <c r="E66" s="100"/>
      <c r="F66" s="99"/>
      <c r="G66" s="100"/>
      <c r="H66" s="121"/>
      <c r="I66" s="99"/>
      <c r="J66" s="100"/>
      <c r="K66" s="121"/>
      <c r="L66" s="99"/>
      <c r="M66" s="100"/>
      <c r="N66" s="121"/>
      <c r="O66" s="99"/>
      <c r="P66" s="100"/>
      <c r="Q66" s="121"/>
      <c r="R66" s="99"/>
      <c r="S66" s="100"/>
      <c r="T66" s="121"/>
      <c r="U66" s="99"/>
      <c r="V66" s="100"/>
      <c r="W66" s="121"/>
      <c r="X66" s="99"/>
      <c r="Y66" s="100"/>
      <c r="Z66" s="121">
        <v>6741</v>
      </c>
      <c r="AA66" s="99">
        <v>6312</v>
      </c>
      <c r="AB66" s="101">
        <v>7900</v>
      </c>
      <c r="AC66" s="10"/>
      <c r="AD66" s="10"/>
      <c r="AE66" s="10"/>
      <c r="AF66" s="10"/>
    </row>
    <row r="67" spans="1:32" x14ac:dyDescent="0.25">
      <c r="A67" s="35" t="s">
        <v>37</v>
      </c>
      <c r="B67" s="100"/>
      <c r="C67" s="99"/>
      <c r="D67" s="100"/>
      <c r="E67" s="100"/>
      <c r="F67" s="99"/>
      <c r="G67" s="100"/>
      <c r="H67" s="121"/>
      <c r="I67" s="99"/>
      <c r="J67" s="100"/>
      <c r="K67" s="121"/>
      <c r="L67" s="99"/>
      <c r="M67" s="100"/>
      <c r="N67" s="121"/>
      <c r="O67" s="99"/>
      <c r="P67" s="100"/>
      <c r="Q67" s="121"/>
      <c r="R67" s="99"/>
      <c r="S67" s="100"/>
      <c r="T67" s="121"/>
      <c r="U67" s="99"/>
      <c r="V67" s="100"/>
      <c r="W67" s="121"/>
      <c r="X67" s="99"/>
      <c r="Y67" s="100"/>
      <c r="Z67" s="121">
        <v>11473</v>
      </c>
      <c r="AA67" s="99">
        <v>12482</v>
      </c>
      <c r="AB67" s="101">
        <v>10112</v>
      </c>
      <c r="AC67" s="10"/>
      <c r="AD67" s="10"/>
      <c r="AE67" s="10"/>
      <c r="AF67" s="10"/>
    </row>
    <row r="68" spans="1:32" x14ac:dyDescent="0.25">
      <c r="A68" s="35" t="s">
        <v>52</v>
      </c>
      <c r="B68" s="121">
        <v>1.44</v>
      </c>
      <c r="C68" s="98">
        <v>1.17</v>
      </c>
      <c r="D68" s="100">
        <v>1.38</v>
      </c>
      <c r="E68" s="121">
        <v>4.08</v>
      </c>
      <c r="F68" s="99">
        <v>3.96</v>
      </c>
      <c r="G68" s="100">
        <v>4.1100000000000003</v>
      </c>
      <c r="H68" s="121">
        <v>5.43</v>
      </c>
      <c r="I68" s="99">
        <v>5.16</v>
      </c>
      <c r="J68" s="100">
        <v>5.01</v>
      </c>
      <c r="K68" s="121">
        <v>9.06</v>
      </c>
      <c r="L68" s="99">
        <v>9.66</v>
      </c>
      <c r="M68" s="100">
        <v>8.91</v>
      </c>
      <c r="N68" s="121">
        <v>5.43</v>
      </c>
      <c r="O68" s="99">
        <v>5.16</v>
      </c>
      <c r="P68" s="100">
        <v>5.01</v>
      </c>
      <c r="Q68" s="121">
        <v>12</v>
      </c>
      <c r="R68" s="99">
        <v>11.31</v>
      </c>
      <c r="S68" s="100">
        <v>10.38</v>
      </c>
      <c r="T68" s="121">
        <v>14.13</v>
      </c>
      <c r="U68" s="99">
        <v>12.84</v>
      </c>
      <c r="V68" s="100">
        <v>11.43</v>
      </c>
      <c r="W68" s="121">
        <v>14.13</v>
      </c>
      <c r="X68" s="99">
        <v>12.84</v>
      </c>
      <c r="Y68" s="100">
        <v>11.43</v>
      </c>
      <c r="Z68" s="121"/>
      <c r="AA68" s="99"/>
      <c r="AB68" s="101"/>
      <c r="AC68" s="10"/>
      <c r="AD68" s="10"/>
      <c r="AE68" s="10"/>
      <c r="AF68" s="10"/>
    </row>
    <row r="69" spans="1:32" x14ac:dyDescent="0.25">
      <c r="A69" s="35" t="s">
        <v>39</v>
      </c>
      <c r="B69" s="121">
        <v>0.48</v>
      </c>
      <c r="C69" s="98">
        <v>0.39</v>
      </c>
      <c r="D69" s="100">
        <v>0.46</v>
      </c>
      <c r="E69" s="121">
        <v>1.36</v>
      </c>
      <c r="F69" s="99">
        <v>1.32</v>
      </c>
      <c r="G69" s="100">
        <v>1.37</v>
      </c>
      <c r="H69" s="121">
        <v>1.81</v>
      </c>
      <c r="I69" s="99">
        <v>1.72</v>
      </c>
      <c r="J69" s="100">
        <v>1.67</v>
      </c>
      <c r="K69" s="121">
        <v>3.02</v>
      </c>
      <c r="L69" s="99">
        <v>3.22</v>
      </c>
      <c r="M69" s="100">
        <v>2.97</v>
      </c>
      <c r="N69" s="121">
        <v>1.81</v>
      </c>
      <c r="O69" s="99">
        <v>1.72</v>
      </c>
      <c r="P69" s="100">
        <v>1.67</v>
      </c>
      <c r="Q69" s="121">
        <v>4</v>
      </c>
      <c r="R69" s="99">
        <v>3.77</v>
      </c>
      <c r="S69" s="100">
        <v>3.46</v>
      </c>
      <c r="T69" s="121">
        <v>4.71</v>
      </c>
      <c r="U69" s="99">
        <v>4.28</v>
      </c>
      <c r="V69" s="100">
        <v>3.81</v>
      </c>
      <c r="W69" s="121">
        <v>4.71</v>
      </c>
      <c r="X69" s="99">
        <v>4.28</v>
      </c>
      <c r="Y69" s="100">
        <v>3.81</v>
      </c>
      <c r="Z69" s="121">
        <v>23.9</v>
      </c>
      <c r="AA69" s="99">
        <v>26</v>
      </c>
      <c r="AB69" s="101">
        <v>21.07</v>
      </c>
      <c r="AC69" s="10"/>
      <c r="AD69" s="10"/>
      <c r="AE69" s="10"/>
      <c r="AF69" s="10"/>
    </row>
    <row r="70" spans="1:32" x14ac:dyDescent="0.25">
      <c r="A70" s="35" t="s">
        <v>38</v>
      </c>
      <c r="B70" s="121"/>
      <c r="C70" s="98"/>
      <c r="D70" s="100"/>
      <c r="E70" s="121"/>
      <c r="F70" s="99"/>
      <c r="G70" s="100"/>
      <c r="H70" s="121"/>
      <c r="I70" s="99"/>
      <c r="J70" s="100"/>
      <c r="K70" s="121"/>
      <c r="L70" s="99"/>
      <c r="M70" s="100"/>
      <c r="N70" s="121"/>
      <c r="O70" s="99"/>
      <c r="P70" s="100"/>
      <c r="Q70" s="121"/>
      <c r="R70" s="99"/>
      <c r="S70" s="100"/>
      <c r="T70" s="121"/>
      <c r="U70" s="99"/>
      <c r="V70" s="100"/>
      <c r="W70" s="121"/>
      <c r="X70" s="99"/>
      <c r="Y70" s="100"/>
      <c r="Z70" s="121">
        <v>71.709999999999994</v>
      </c>
      <c r="AA70" s="99">
        <v>78.010000000000005</v>
      </c>
      <c r="AB70" s="101">
        <v>63.2</v>
      </c>
      <c r="AC70" s="10"/>
      <c r="AD70" s="10"/>
      <c r="AE70" s="10"/>
      <c r="AF70" s="10"/>
    </row>
    <row r="71" spans="1:32" x14ac:dyDescent="0.25">
      <c r="A71" s="36" t="s">
        <v>40</v>
      </c>
      <c r="B71" s="121"/>
      <c r="C71" s="98"/>
      <c r="D71" s="100"/>
      <c r="E71" s="121"/>
      <c r="F71" s="99"/>
      <c r="G71" s="100"/>
      <c r="H71" s="121"/>
      <c r="I71" s="99"/>
      <c r="J71" s="100"/>
      <c r="K71" s="121"/>
      <c r="L71" s="99"/>
      <c r="M71" s="100"/>
      <c r="N71" s="121"/>
      <c r="O71" s="99"/>
      <c r="P71" s="100"/>
      <c r="Q71" s="121"/>
      <c r="R71" s="99"/>
      <c r="S71" s="100"/>
      <c r="T71" s="121"/>
      <c r="U71" s="99"/>
      <c r="V71" s="100"/>
      <c r="W71" s="121"/>
      <c r="X71" s="99"/>
      <c r="Y71" s="100"/>
      <c r="Z71" s="121"/>
      <c r="AA71" s="99"/>
      <c r="AB71" s="101"/>
      <c r="AC71" s="10"/>
      <c r="AD71" s="10"/>
      <c r="AE71" s="10"/>
      <c r="AF71" s="10"/>
    </row>
    <row r="72" spans="1:32" x14ac:dyDescent="0.25">
      <c r="A72" s="35" t="s">
        <v>41</v>
      </c>
      <c r="B72" s="121">
        <v>2336.0300000000002</v>
      </c>
      <c r="C72" s="98">
        <v>2324.2399999999998</v>
      </c>
      <c r="D72" s="100">
        <v>2110.64</v>
      </c>
      <c r="E72" s="121">
        <v>1772.51</v>
      </c>
      <c r="F72" s="99">
        <v>1870.96</v>
      </c>
      <c r="G72" s="100">
        <v>1626</v>
      </c>
      <c r="H72" s="121">
        <v>1848.51</v>
      </c>
      <c r="I72" s="99">
        <v>1826.14</v>
      </c>
      <c r="J72" s="100">
        <v>1572.95</v>
      </c>
      <c r="K72" s="121">
        <v>678.42</v>
      </c>
      <c r="L72" s="99">
        <v>667.48</v>
      </c>
      <c r="M72" s="100">
        <v>704.85</v>
      </c>
      <c r="N72" s="121">
        <v>1848.51</v>
      </c>
      <c r="O72" s="99">
        <v>1826.14</v>
      </c>
      <c r="P72" s="100">
        <v>1572.95</v>
      </c>
      <c r="Q72" s="121">
        <v>289.94</v>
      </c>
      <c r="R72" s="99">
        <v>270.49</v>
      </c>
      <c r="S72" s="100">
        <v>237.63</v>
      </c>
      <c r="T72" s="121">
        <v>289.94</v>
      </c>
      <c r="U72" s="99">
        <v>270.49</v>
      </c>
      <c r="V72" s="100">
        <v>237.63</v>
      </c>
      <c r="W72" s="121">
        <v>289.94</v>
      </c>
      <c r="X72" s="99">
        <v>270.49</v>
      </c>
      <c r="Y72" s="100">
        <v>237.63</v>
      </c>
      <c r="Z72" s="121">
        <v>219.55</v>
      </c>
      <c r="AA72" s="99">
        <v>210.63</v>
      </c>
      <c r="AB72" s="101">
        <v>206.14</v>
      </c>
      <c r="AC72" s="10"/>
      <c r="AD72" s="10"/>
      <c r="AE72" s="10"/>
      <c r="AF72" s="10"/>
    </row>
    <row r="73" spans="1:32" x14ac:dyDescent="0.25">
      <c r="A73" s="35" t="s">
        <v>42</v>
      </c>
      <c r="B73" s="121"/>
      <c r="C73" s="98"/>
      <c r="D73" s="100"/>
      <c r="E73" s="121"/>
      <c r="F73" s="99"/>
      <c r="G73" s="100"/>
      <c r="H73" s="99">
        <v>134.56</v>
      </c>
      <c r="I73" s="99">
        <v>140.85</v>
      </c>
      <c r="J73" s="100">
        <v>164.93</v>
      </c>
      <c r="K73" s="99">
        <v>134.56</v>
      </c>
      <c r="L73" s="99">
        <v>140.85</v>
      </c>
      <c r="M73" s="100">
        <v>164.93</v>
      </c>
      <c r="N73" s="99">
        <v>134.56</v>
      </c>
      <c r="O73" s="99">
        <v>140.85</v>
      </c>
      <c r="P73" s="100">
        <v>164.93</v>
      </c>
      <c r="Q73" s="99">
        <v>134.56</v>
      </c>
      <c r="R73" s="99">
        <v>140.85</v>
      </c>
      <c r="S73" s="100">
        <v>164.93</v>
      </c>
      <c r="T73" s="99">
        <v>134.56</v>
      </c>
      <c r="U73" s="99">
        <v>140.85</v>
      </c>
      <c r="V73" s="100">
        <v>164.93</v>
      </c>
      <c r="W73" s="99">
        <v>134.56</v>
      </c>
      <c r="X73" s="99">
        <v>140.85</v>
      </c>
      <c r="Y73" s="100">
        <v>164.93</v>
      </c>
      <c r="Z73" s="99">
        <v>187.88</v>
      </c>
      <c r="AA73" s="99">
        <v>176.79</v>
      </c>
      <c r="AB73" s="101">
        <v>182.63</v>
      </c>
      <c r="AC73" s="10"/>
      <c r="AD73" s="10"/>
      <c r="AE73" s="10"/>
      <c r="AF73" s="10"/>
    </row>
    <row r="74" spans="1:32" x14ac:dyDescent="0.25">
      <c r="A74" s="35" t="s">
        <v>43</v>
      </c>
      <c r="B74" s="99">
        <f>B41</f>
        <v>77.12</v>
      </c>
      <c r="C74" s="99">
        <f>B74</f>
        <v>77.12</v>
      </c>
      <c r="D74" s="100">
        <f t="shared" ref="D74:P74" si="24">C74</f>
        <v>77.12</v>
      </c>
      <c r="E74" s="99">
        <f t="shared" si="24"/>
        <v>77.12</v>
      </c>
      <c r="F74" s="99">
        <f t="shared" si="24"/>
        <v>77.12</v>
      </c>
      <c r="G74" s="100">
        <f t="shared" si="24"/>
        <v>77.12</v>
      </c>
      <c r="H74" s="99">
        <f t="shared" si="24"/>
        <v>77.12</v>
      </c>
      <c r="I74" s="99">
        <f t="shared" si="24"/>
        <v>77.12</v>
      </c>
      <c r="J74" s="100">
        <f t="shared" si="24"/>
        <v>77.12</v>
      </c>
      <c r="K74" s="99">
        <f t="shared" si="24"/>
        <v>77.12</v>
      </c>
      <c r="L74" s="99">
        <f t="shared" si="24"/>
        <v>77.12</v>
      </c>
      <c r="M74" s="100">
        <f t="shared" si="24"/>
        <v>77.12</v>
      </c>
      <c r="N74" s="99">
        <f>M74</f>
        <v>77.12</v>
      </c>
      <c r="O74" s="99">
        <f t="shared" si="24"/>
        <v>77.12</v>
      </c>
      <c r="P74" s="100">
        <f t="shared" si="24"/>
        <v>77.12</v>
      </c>
      <c r="Q74" s="99">
        <f>P74</f>
        <v>77.12</v>
      </c>
      <c r="R74" s="99">
        <f t="shared" ref="R74:R75" si="25">Q74</f>
        <v>77.12</v>
      </c>
      <c r="S74" s="100">
        <f t="shared" ref="S74:S75" si="26">R74</f>
        <v>77.12</v>
      </c>
      <c r="T74" s="99">
        <f t="shared" ref="T74:T75" si="27">S74</f>
        <v>77.12</v>
      </c>
      <c r="U74" s="99">
        <f t="shared" ref="U74:U75" si="28">T74</f>
        <v>77.12</v>
      </c>
      <c r="V74" s="100">
        <f t="shared" ref="V74:V75" si="29">U74</f>
        <v>77.12</v>
      </c>
      <c r="W74" s="99">
        <f t="shared" ref="W74:W75" si="30">V74</f>
        <v>77.12</v>
      </c>
      <c r="X74" s="99">
        <f t="shared" ref="X74:X75" si="31">W74</f>
        <v>77.12</v>
      </c>
      <c r="Y74" s="100">
        <f t="shared" ref="Y74:Y75" si="32">X74</f>
        <v>77.12</v>
      </c>
      <c r="Z74" s="99">
        <f t="shared" ref="Z74:Z75" si="33">Y74</f>
        <v>77.12</v>
      </c>
      <c r="AA74" s="99">
        <f t="shared" ref="AA74:AA75" si="34">Z74</f>
        <v>77.12</v>
      </c>
      <c r="AB74" s="101">
        <f t="shared" ref="AB74:AB75" si="35">AA74</f>
        <v>77.12</v>
      </c>
      <c r="AC74" s="10"/>
      <c r="AD74" s="10"/>
      <c r="AE74" s="10"/>
      <c r="AF74" s="10"/>
    </row>
    <row r="75" spans="1:32" x14ac:dyDescent="0.25">
      <c r="A75" s="35" t="s">
        <v>44</v>
      </c>
      <c r="B75" s="99">
        <f>B42</f>
        <v>495</v>
      </c>
      <c r="C75" s="99">
        <f t="shared" ref="C75:P75" si="36">B75</f>
        <v>495</v>
      </c>
      <c r="D75" s="100">
        <f t="shared" si="36"/>
        <v>495</v>
      </c>
      <c r="E75" s="99">
        <f t="shared" si="36"/>
        <v>495</v>
      </c>
      <c r="F75" s="99">
        <f t="shared" si="36"/>
        <v>495</v>
      </c>
      <c r="G75" s="100">
        <f t="shared" si="36"/>
        <v>495</v>
      </c>
      <c r="H75" s="99">
        <f t="shared" si="36"/>
        <v>495</v>
      </c>
      <c r="I75" s="99">
        <f t="shared" si="36"/>
        <v>495</v>
      </c>
      <c r="J75" s="100">
        <f t="shared" si="36"/>
        <v>495</v>
      </c>
      <c r="K75" s="99">
        <f t="shared" si="36"/>
        <v>495</v>
      </c>
      <c r="L75" s="99">
        <f t="shared" si="36"/>
        <v>495</v>
      </c>
      <c r="M75" s="100">
        <f t="shared" si="36"/>
        <v>495</v>
      </c>
      <c r="N75" s="99">
        <f>M75</f>
        <v>495</v>
      </c>
      <c r="O75" s="99">
        <f t="shared" si="36"/>
        <v>495</v>
      </c>
      <c r="P75" s="100">
        <f t="shared" si="36"/>
        <v>495</v>
      </c>
      <c r="Q75" s="99">
        <f>P75</f>
        <v>495</v>
      </c>
      <c r="R75" s="99">
        <f t="shared" si="25"/>
        <v>495</v>
      </c>
      <c r="S75" s="100">
        <f t="shared" si="26"/>
        <v>495</v>
      </c>
      <c r="T75" s="99">
        <f t="shared" si="27"/>
        <v>495</v>
      </c>
      <c r="U75" s="99">
        <f t="shared" si="28"/>
        <v>495</v>
      </c>
      <c r="V75" s="100">
        <f t="shared" si="29"/>
        <v>495</v>
      </c>
      <c r="W75" s="99">
        <f t="shared" si="30"/>
        <v>495</v>
      </c>
      <c r="X75" s="99">
        <f t="shared" si="31"/>
        <v>495</v>
      </c>
      <c r="Y75" s="100">
        <f t="shared" si="32"/>
        <v>495</v>
      </c>
      <c r="Z75" s="99">
        <f t="shared" si="33"/>
        <v>495</v>
      </c>
      <c r="AA75" s="99">
        <f t="shared" si="34"/>
        <v>495</v>
      </c>
      <c r="AB75" s="101">
        <f t="shared" si="35"/>
        <v>495</v>
      </c>
      <c r="AC75" s="10"/>
      <c r="AD75" s="10"/>
      <c r="AE75" s="10"/>
      <c r="AF75" s="10"/>
    </row>
    <row r="76" spans="1:32" x14ac:dyDescent="0.25">
      <c r="A76" s="35" t="str">
        <f>A43</f>
        <v xml:space="preserve"> - z platu za obn.zdroje, KVET a druhotné zdr. v Kč/A/měs. a fázi *)</v>
      </c>
      <c r="B76" s="144">
        <f>B43</f>
        <v>13.27</v>
      </c>
      <c r="C76" s="144">
        <f>C43</f>
        <v>13.27</v>
      </c>
      <c r="D76" s="144">
        <f t="shared" ref="D76:P76" si="37">D43</f>
        <v>13.27</v>
      </c>
      <c r="E76" s="144">
        <f t="shared" si="37"/>
        <v>13.27</v>
      </c>
      <c r="F76" s="144">
        <f t="shared" si="37"/>
        <v>13.27</v>
      </c>
      <c r="G76" s="144">
        <f t="shared" si="37"/>
        <v>13.27</v>
      </c>
      <c r="H76" s="144">
        <f t="shared" si="37"/>
        <v>13.27</v>
      </c>
      <c r="I76" s="144">
        <f t="shared" si="37"/>
        <v>13.27</v>
      </c>
      <c r="J76" s="144">
        <f t="shared" si="37"/>
        <v>13.27</v>
      </c>
      <c r="K76" s="144">
        <f t="shared" si="37"/>
        <v>13.27</v>
      </c>
      <c r="L76" s="144">
        <f t="shared" si="37"/>
        <v>13.27</v>
      </c>
      <c r="M76" s="144">
        <f t="shared" si="37"/>
        <v>13.27</v>
      </c>
      <c r="N76" s="144">
        <f t="shared" si="37"/>
        <v>13.27</v>
      </c>
      <c r="O76" s="144">
        <f t="shared" si="37"/>
        <v>13.27</v>
      </c>
      <c r="P76" s="144">
        <f t="shared" si="37"/>
        <v>13.27</v>
      </c>
      <c r="Q76" s="144">
        <f t="shared" ref="Q76:AB76" si="38">Q43</f>
        <v>13.27</v>
      </c>
      <c r="R76" s="144">
        <f t="shared" si="38"/>
        <v>13.27</v>
      </c>
      <c r="S76" s="144">
        <f t="shared" si="38"/>
        <v>13.27</v>
      </c>
      <c r="T76" s="144">
        <f t="shared" si="38"/>
        <v>13.27</v>
      </c>
      <c r="U76" s="144">
        <f t="shared" si="38"/>
        <v>13.27</v>
      </c>
      <c r="V76" s="144">
        <f t="shared" si="38"/>
        <v>13.27</v>
      </c>
      <c r="W76" s="144">
        <f t="shared" si="38"/>
        <v>13.27</v>
      </c>
      <c r="X76" s="144">
        <f t="shared" si="38"/>
        <v>13.27</v>
      </c>
      <c r="Y76" s="144">
        <f t="shared" si="38"/>
        <v>13.27</v>
      </c>
      <c r="Z76" s="144">
        <f t="shared" si="38"/>
        <v>13.27</v>
      </c>
      <c r="AA76" s="144">
        <f t="shared" si="38"/>
        <v>13.27</v>
      </c>
      <c r="AB76" s="144">
        <f t="shared" si="38"/>
        <v>13.27</v>
      </c>
    </row>
    <row r="77" spans="1:32" ht="15.75" thickBot="1" x14ac:dyDescent="0.3">
      <c r="A77" s="35" t="str">
        <f>A44</f>
        <v xml:space="preserve"> - z platu za činnost OTE v Kč/OPM/měs. **)</v>
      </c>
      <c r="B77" s="103">
        <f>B44</f>
        <v>5.08</v>
      </c>
      <c r="C77" s="103">
        <f t="shared" ref="C77:P77" si="39">B77</f>
        <v>5.08</v>
      </c>
      <c r="D77" s="104">
        <f t="shared" si="39"/>
        <v>5.08</v>
      </c>
      <c r="E77" s="102">
        <f t="shared" si="39"/>
        <v>5.08</v>
      </c>
      <c r="F77" s="103">
        <f t="shared" si="39"/>
        <v>5.08</v>
      </c>
      <c r="G77" s="104">
        <f t="shared" si="39"/>
        <v>5.08</v>
      </c>
      <c r="H77" s="125">
        <f t="shared" si="39"/>
        <v>5.08</v>
      </c>
      <c r="I77" s="103">
        <f t="shared" si="39"/>
        <v>5.08</v>
      </c>
      <c r="J77" s="104">
        <f t="shared" si="39"/>
        <v>5.08</v>
      </c>
      <c r="K77" s="125">
        <f t="shared" si="39"/>
        <v>5.08</v>
      </c>
      <c r="L77" s="103">
        <f t="shared" si="39"/>
        <v>5.08</v>
      </c>
      <c r="M77" s="104">
        <f t="shared" si="39"/>
        <v>5.08</v>
      </c>
      <c r="N77" s="102">
        <f>M77</f>
        <v>5.08</v>
      </c>
      <c r="O77" s="103">
        <f t="shared" si="39"/>
        <v>5.08</v>
      </c>
      <c r="P77" s="104">
        <f t="shared" si="39"/>
        <v>5.08</v>
      </c>
      <c r="Q77" s="102">
        <f>P77</f>
        <v>5.08</v>
      </c>
      <c r="R77" s="103">
        <f t="shared" ref="R77" si="40">Q77</f>
        <v>5.08</v>
      </c>
      <c r="S77" s="104">
        <f t="shared" ref="S77" si="41">R77</f>
        <v>5.08</v>
      </c>
      <c r="T77" s="125">
        <f t="shared" ref="T77" si="42">S77</f>
        <v>5.08</v>
      </c>
      <c r="U77" s="103">
        <f t="shared" ref="U77" si="43">T77</f>
        <v>5.08</v>
      </c>
      <c r="V77" s="104">
        <f t="shared" ref="V77" si="44">U77</f>
        <v>5.08</v>
      </c>
      <c r="W77" s="125">
        <f t="shared" ref="W77" si="45">V77</f>
        <v>5.08</v>
      </c>
      <c r="X77" s="103">
        <f t="shared" ref="X77" si="46">W77</f>
        <v>5.08</v>
      </c>
      <c r="Y77" s="104">
        <f t="shared" ref="Y77" si="47">X77</f>
        <v>5.08</v>
      </c>
      <c r="Z77" s="125">
        <f t="shared" ref="Z77" si="48">Y77</f>
        <v>5.08</v>
      </c>
      <c r="AA77" s="103">
        <f t="shared" ref="AA77" si="49">Z77</f>
        <v>5.08</v>
      </c>
      <c r="AB77" s="105">
        <f t="shared" ref="AB77" si="50">AA77</f>
        <v>5.08</v>
      </c>
    </row>
    <row r="78" spans="1:32" x14ac:dyDescent="0.25">
      <c r="A78" s="35" t="s">
        <v>142</v>
      </c>
      <c r="B78" s="106">
        <f>B51+B72+B74+B75</f>
        <v>4346.1499999999996</v>
      </c>
      <c r="C78" s="106">
        <f t="shared" ref="C78:P78" si="51">C51+C72+C74+C75</f>
        <v>4334.3599999999997</v>
      </c>
      <c r="D78" s="139">
        <f t="shared" si="51"/>
        <v>4120.76</v>
      </c>
      <c r="E78" s="140">
        <f t="shared" si="51"/>
        <v>3782.63</v>
      </c>
      <c r="F78" s="106">
        <f t="shared" si="51"/>
        <v>3881.08</v>
      </c>
      <c r="G78" s="139">
        <f t="shared" si="51"/>
        <v>3636.12</v>
      </c>
      <c r="H78" s="106">
        <f t="shared" si="51"/>
        <v>3858.63</v>
      </c>
      <c r="I78" s="106">
        <f t="shared" si="51"/>
        <v>3836.26</v>
      </c>
      <c r="J78" s="139">
        <f t="shared" si="51"/>
        <v>3583.0699999999997</v>
      </c>
      <c r="K78" s="106">
        <f t="shared" si="51"/>
        <v>2688.54</v>
      </c>
      <c r="L78" s="106">
        <f t="shared" si="51"/>
        <v>2677.6</v>
      </c>
      <c r="M78" s="139">
        <f t="shared" si="51"/>
        <v>2714.97</v>
      </c>
      <c r="N78" s="140">
        <f t="shared" si="51"/>
        <v>3858.63</v>
      </c>
      <c r="O78" s="106">
        <f t="shared" si="51"/>
        <v>3836.26</v>
      </c>
      <c r="P78" s="139">
        <f t="shared" si="51"/>
        <v>3583.0699999999997</v>
      </c>
      <c r="Q78" s="140">
        <f t="shared" ref="Q78:AB78" si="52">Q51+Q72+Q74+Q75</f>
        <v>2300.06</v>
      </c>
      <c r="R78" s="106">
        <f t="shared" si="52"/>
        <v>2280.61</v>
      </c>
      <c r="S78" s="139">
        <f t="shared" si="52"/>
        <v>2247.75</v>
      </c>
      <c r="T78" s="106">
        <f t="shared" si="52"/>
        <v>2300.06</v>
      </c>
      <c r="U78" s="106">
        <f t="shared" si="52"/>
        <v>2280.61</v>
      </c>
      <c r="V78" s="139">
        <f t="shared" si="52"/>
        <v>2247.75</v>
      </c>
      <c r="W78" s="106">
        <f t="shared" si="52"/>
        <v>2300.06</v>
      </c>
      <c r="X78" s="106">
        <f t="shared" si="52"/>
        <v>2280.61</v>
      </c>
      <c r="Y78" s="139">
        <f t="shared" si="52"/>
        <v>2247.75</v>
      </c>
      <c r="Z78" s="106">
        <f t="shared" si="52"/>
        <v>2229.67</v>
      </c>
      <c r="AA78" s="106">
        <f t="shared" si="52"/>
        <v>2220.75</v>
      </c>
      <c r="AB78" s="141">
        <f t="shared" si="52"/>
        <v>2216.2599999999998</v>
      </c>
    </row>
    <row r="79" spans="1:32" ht="15.75" thickBot="1" x14ac:dyDescent="0.3">
      <c r="A79" s="38" t="s">
        <v>143</v>
      </c>
      <c r="B79" s="107"/>
      <c r="C79" s="107"/>
      <c r="D79" s="108"/>
      <c r="E79" s="107"/>
      <c r="F79" s="107"/>
      <c r="G79" s="108"/>
      <c r="H79" s="107">
        <f t="shared" ref="H79:P79" si="53">H51+H73+H74+H75</f>
        <v>2144.6799999999998</v>
      </c>
      <c r="I79" s="107">
        <f t="shared" si="53"/>
        <v>2150.9699999999998</v>
      </c>
      <c r="J79" s="108">
        <f t="shared" si="53"/>
        <v>2175.0500000000002</v>
      </c>
      <c r="K79" s="107">
        <f t="shared" si="53"/>
        <v>2144.6799999999998</v>
      </c>
      <c r="L79" s="107">
        <f t="shared" si="53"/>
        <v>2150.9699999999998</v>
      </c>
      <c r="M79" s="108">
        <f t="shared" si="53"/>
        <v>2175.0500000000002</v>
      </c>
      <c r="N79" s="142">
        <f t="shared" si="53"/>
        <v>2144.6799999999998</v>
      </c>
      <c r="O79" s="107">
        <f t="shared" si="53"/>
        <v>2150.9699999999998</v>
      </c>
      <c r="P79" s="108">
        <f t="shared" si="53"/>
        <v>2175.0500000000002</v>
      </c>
      <c r="Q79" s="142">
        <f t="shared" ref="Q79:AB79" si="54">Q51+Q73+Q74+Q75</f>
        <v>2144.6799999999998</v>
      </c>
      <c r="R79" s="107">
        <f t="shared" si="54"/>
        <v>2150.9699999999998</v>
      </c>
      <c r="S79" s="108">
        <f t="shared" si="54"/>
        <v>2175.0500000000002</v>
      </c>
      <c r="T79" s="107">
        <f t="shared" si="54"/>
        <v>2144.6799999999998</v>
      </c>
      <c r="U79" s="107">
        <f t="shared" si="54"/>
        <v>2150.9699999999998</v>
      </c>
      <c r="V79" s="108">
        <f t="shared" si="54"/>
        <v>2175.0500000000002</v>
      </c>
      <c r="W79" s="107">
        <f t="shared" si="54"/>
        <v>2144.6799999999998</v>
      </c>
      <c r="X79" s="107">
        <f t="shared" si="54"/>
        <v>2150.9699999999998</v>
      </c>
      <c r="Y79" s="108">
        <f t="shared" si="54"/>
        <v>2175.0500000000002</v>
      </c>
      <c r="Z79" s="107">
        <f t="shared" si="54"/>
        <v>2198</v>
      </c>
      <c r="AA79" s="107">
        <f t="shared" si="54"/>
        <v>2186.91</v>
      </c>
      <c r="AB79" s="143">
        <f t="shared" si="54"/>
        <v>2192.75</v>
      </c>
    </row>
    <row r="80" spans="1:32" ht="15.75" thickTop="1" x14ac:dyDescent="0.25"/>
    <row r="95" spans="5:15" x14ac:dyDescent="0.25">
      <c r="F95">
        <v>0</v>
      </c>
      <c r="G95">
        <v>3</v>
      </c>
      <c r="H95">
        <v>6</v>
      </c>
      <c r="I95">
        <v>9</v>
      </c>
      <c r="J95">
        <v>12</v>
      </c>
      <c r="K95">
        <v>15</v>
      </c>
      <c r="L95">
        <v>18</v>
      </c>
      <c r="M95">
        <v>21</v>
      </c>
      <c r="N95">
        <v>24</v>
      </c>
      <c r="O95">
        <v>27</v>
      </c>
    </row>
    <row r="96" spans="5:15" x14ac:dyDescent="0.25">
      <c r="E96" t="s">
        <v>83</v>
      </c>
      <c r="F96" t="s">
        <v>84</v>
      </c>
      <c r="G96">
        <f ca="1">INDIRECT(ADDRESS(95,5+$I$98))</f>
        <v>0</v>
      </c>
      <c r="H96" t="s">
        <v>85</v>
      </c>
      <c r="I96">
        <f>(H98-1)*3</f>
        <v>12</v>
      </c>
    </row>
    <row r="97" spans="2:11" x14ac:dyDescent="0.25">
      <c r="B97" t="s">
        <v>75</v>
      </c>
      <c r="C97" t="s">
        <v>135</v>
      </c>
      <c r="F97" t="s">
        <v>76</v>
      </c>
      <c r="G97" t="s">
        <v>77</v>
      </c>
      <c r="H97" t="s">
        <v>79</v>
      </c>
      <c r="I97" t="s">
        <v>80</v>
      </c>
      <c r="J97" t="s">
        <v>81</v>
      </c>
      <c r="K97" t="s">
        <v>82</v>
      </c>
    </row>
    <row r="98" spans="2:11" x14ac:dyDescent="0.25">
      <c r="B98" s="148">
        <f>navrh!$W$3</f>
        <v>1</v>
      </c>
      <c r="C98" s="148">
        <f>navrh!$U$2</f>
        <v>1</v>
      </c>
      <c r="D98" s="10"/>
      <c r="E98" s="10"/>
      <c r="F98" s="148">
        <f>navrh!$C$4</f>
        <v>5.87</v>
      </c>
      <c r="G98" s="148">
        <f>navrh!$C$5</f>
        <v>8</v>
      </c>
      <c r="H98" s="148">
        <f>navrh!$T$15</f>
        <v>5</v>
      </c>
      <c r="I98" s="148">
        <f>navrh!$U$15</f>
        <v>0</v>
      </c>
      <c r="J98" s="148">
        <f>navrh!$AA$20</f>
        <v>5</v>
      </c>
      <c r="K98" s="148">
        <f>navrh!$AA$20</f>
        <v>5</v>
      </c>
    </row>
    <row r="99" spans="2:11" ht="15.75" x14ac:dyDescent="0.25">
      <c r="B99" s="42" t="str">
        <f ca="1">IF(B98=1,H99,I99)</f>
        <v>Sazba D 27d</v>
      </c>
      <c r="C99" s="10"/>
      <c r="D99" s="10"/>
      <c r="E99" s="10"/>
      <c r="G99" t="s">
        <v>78</v>
      </c>
      <c r="H99" t="str">
        <f ca="1">INDIRECT(ADDRESS(49,2+$I$96))</f>
        <v>Sazba D 27d</v>
      </c>
      <c r="I99" t="str">
        <f ca="1">INDIRECT(ADDRESS(17,2+$G$96))</f>
        <v>Sazba C 01d</v>
      </c>
    </row>
    <row r="100" spans="2:11" ht="15.75" x14ac:dyDescent="0.25">
      <c r="B100" s="146">
        <f ca="1">IF(navrh!G17=0,IF(B$98=1,H100,I100),navrh!G17)</f>
        <v>1438</v>
      </c>
      <c r="C100" s="146">
        <f ca="1">IF(navrh!G18=0,IF(B$98=1,H100,I100),navrh!G18)</f>
        <v>1438</v>
      </c>
      <c r="D100" s="10"/>
      <c r="E100" s="10"/>
      <c r="G100" t="s">
        <v>86</v>
      </c>
      <c r="H100">
        <f ca="1">INDIRECT(ADDRESS(51,2+$I$96))</f>
        <v>1438</v>
      </c>
      <c r="I100">
        <f ca="1">INDIRECT(ADDRESS(19,2+$G$96))</f>
        <v>1438</v>
      </c>
    </row>
    <row r="101" spans="2:11" ht="15.75" x14ac:dyDescent="0.25">
      <c r="B101" s="42">
        <f ca="1">IF(B$98=1,H101,I101)</f>
        <v>0</v>
      </c>
      <c r="C101" s="43"/>
      <c r="D101" s="43"/>
      <c r="E101" s="43"/>
      <c r="G101" t="s">
        <v>87</v>
      </c>
      <c r="H101">
        <f ca="1">INDIRECT(ADDRESS(52,2+$I$96))</f>
        <v>0</v>
      </c>
      <c r="I101">
        <f ca="1">INDIRECT(ADDRESS(20,2+$G$96))</f>
        <v>0</v>
      </c>
    </row>
    <row r="102" spans="2:11" ht="15.75" x14ac:dyDescent="0.25">
      <c r="B102" s="42" t="str">
        <f ca="1">IF(B$98=1,H102,I102)</f>
        <v>ČEZ</v>
      </c>
      <c r="C102" s="43"/>
      <c r="D102" s="43"/>
      <c r="E102" s="43"/>
      <c r="H102" t="str">
        <f ca="1">INDIRECT(ADDRESS(55,2+$I$96+($C$98-1)))</f>
        <v>ČEZ</v>
      </c>
      <c r="I102" s="41" t="str">
        <f ca="1">INDIRECT(ADDRESS(23,2+$G$96+($C$98-1)))</f>
        <v>ČEZ</v>
      </c>
    </row>
    <row r="103" spans="2:11" ht="15.75" x14ac:dyDescent="0.25">
      <c r="B103" s="42">
        <f ca="1">IF(B$98=1,H103,I103)</f>
        <v>54</v>
      </c>
      <c r="C103" s="40"/>
      <c r="D103" s="10"/>
      <c r="E103" s="10"/>
      <c r="H103">
        <f ca="1">INDIRECT(ADDRESS(56,2+$I$96+($C$98-1)))</f>
        <v>54</v>
      </c>
      <c r="I103" s="41">
        <f ca="1">INDIRECT(ADDRESS(24,2+$G$96+($C$98-1)))</f>
        <v>21</v>
      </c>
      <c r="J103" s="40" t="s">
        <v>26</v>
      </c>
    </row>
    <row r="104" spans="2:11" ht="15.75" x14ac:dyDescent="0.25">
      <c r="B104" s="42">
        <f t="shared" ref="B104:B123" ca="1" si="55">IF(B$98=1,H104,I104)</f>
        <v>87</v>
      </c>
      <c r="C104" s="40"/>
      <c r="D104" s="10"/>
      <c r="E104" s="10"/>
      <c r="H104">
        <f ca="1">INDIRECT(ADDRESS(57,2+$I$96+($C$98-1)))</f>
        <v>87</v>
      </c>
      <c r="I104" s="41">
        <f ca="1">INDIRECT(ADDRESS(25,2+$G$96+($C$98-1)))</f>
        <v>34</v>
      </c>
      <c r="J104" s="40" t="s">
        <v>27</v>
      </c>
    </row>
    <row r="105" spans="2:11" ht="15.75" x14ac:dyDescent="0.25">
      <c r="B105" s="42">
        <f t="shared" ca="1" si="55"/>
        <v>109</v>
      </c>
      <c r="C105" s="40"/>
      <c r="D105" s="44"/>
      <c r="E105" s="44"/>
      <c r="H105">
        <f ca="1">INDIRECT(ADDRESS(58,2+$I$96+($C$98-1)))</f>
        <v>109</v>
      </c>
      <c r="I105" s="41">
        <f ca="1">INDIRECT(ADDRESS(26,2+$G$96+($C$98-1)))</f>
        <v>42</v>
      </c>
      <c r="J105" s="40" t="s">
        <v>28</v>
      </c>
    </row>
    <row r="106" spans="2:11" ht="15.75" x14ac:dyDescent="0.25">
      <c r="B106" s="42">
        <f t="shared" ca="1" si="55"/>
        <v>136</v>
      </c>
      <c r="C106" s="40"/>
      <c r="D106" s="44"/>
      <c r="E106" s="44"/>
      <c r="H106">
        <f ca="1">INDIRECT(ADDRESS(59,2+$I$96+($C$98-1)))</f>
        <v>136</v>
      </c>
      <c r="I106" s="41">
        <f ca="1">INDIRECT(ADDRESS(27,2+$G$96+($C$98-1)))</f>
        <v>53</v>
      </c>
      <c r="J106" s="40" t="s">
        <v>29</v>
      </c>
    </row>
    <row r="107" spans="2:11" ht="15.75" x14ac:dyDescent="0.25">
      <c r="B107" s="42">
        <f t="shared" ca="1" si="55"/>
        <v>174</v>
      </c>
      <c r="C107" s="40"/>
      <c r="D107" s="44"/>
      <c r="E107" s="44"/>
      <c r="H107">
        <f ca="1">INDIRECT(ADDRESS(60,2+$I$96+($C$98-1)))</f>
        <v>174</v>
      </c>
      <c r="I107" s="41">
        <f ca="1">INDIRECT(ADDRESS(28,2+$G$96+($C$98-1)))</f>
        <v>67</v>
      </c>
      <c r="J107" s="40" t="s">
        <v>30</v>
      </c>
    </row>
    <row r="108" spans="2:11" ht="15.75" x14ac:dyDescent="0.25">
      <c r="B108" s="42">
        <f t="shared" ca="1" si="55"/>
        <v>217</v>
      </c>
      <c r="C108" s="40"/>
      <c r="D108" s="44"/>
      <c r="E108" s="44"/>
      <c r="H108">
        <f ca="1">INDIRECT(ADDRESS(61,2+$I$96+($C$98-1)))</f>
        <v>217</v>
      </c>
      <c r="I108" s="41">
        <f ca="1">INDIRECT(ADDRESS(29,2+$G$96+($C$98-1)))</f>
        <v>84</v>
      </c>
      <c r="J108" s="40" t="s">
        <v>31</v>
      </c>
    </row>
    <row r="109" spans="2:11" ht="15.75" x14ac:dyDescent="0.25">
      <c r="B109" s="42">
        <f t="shared" ca="1" si="55"/>
        <v>272</v>
      </c>
      <c r="C109" s="40"/>
      <c r="D109" s="44"/>
      <c r="E109" s="44"/>
      <c r="H109">
        <f ca="1">INDIRECT(ADDRESS(62,2+$I$96+($C$98-1)))</f>
        <v>272</v>
      </c>
      <c r="I109" s="41">
        <f ca="1">INDIRECT(ADDRESS(30,2+$G$96+($C$98-1)))</f>
        <v>105</v>
      </c>
      <c r="J109" s="40" t="s">
        <v>32</v>
      </c>
    </row>
    <row r="110" spans="2:11" ht="15.75" x14ac:dyDescent="0.25">
      <c r="B110" s="42">
        <f t="shared" ca="1" si="55"/>
        <v>342</v>
      </c>
      <c r="C110" s="40"/>
      <c r="D110" s="44"/>
      <c r="E110" s="44"/>
      <c r="H110">
        <f ca="1">INDIRECT(ADDRESS(63,2+$I$96+($C$98-1)))</f>
        <v>342</v>
      </c>
      <c r="I110" s="41">
        <f ca="1">INDIRECT(ADDRESS(31,2+$G$96+($C$98-1)))</f>
        <v>132</v>
      </c>
      <c r="J110" s="40" t="s">
        <v>33</v>
      </c>
    </row>
    <row r="111" spans="2:11" ht="15.75" x14ac:dyDescent="0.25">
      <c r="B111" s="42">
        <f t="shared" ca="1" si="55"/>
        <v>0</v>
      </c>
      <c r="C111" s="40"/>
      <c r="D111" s="44"/>
      <c r="E111" s="44"/>
      <c r="H111">
        <f ca="1">INDIRECT(ADDRESS(64,2+$I$96+($C$98-1)))</f>
        <v>0</v>
      </c>
      <c r="I111" s="41">
        <f ca="1">INDIRECT(ADDRESS(32,2+$G$96+($C$98-1)))</f>
        <v>168</v>
      </c>
      <c r="J111" s="40" t="s">
        <v>34</v>
      </c>
    </row>
    <row r="112" spans="2:11" ht="15.75" x14ac:dyDescent="0.25">
      <c r="B112" s="42">
        <f t="shared" ca="1" si="55"/>
        <v>0</v>
      </c>
      <c r="C112" s="40"/>
      <c r="D112" s="44"/>
      <c r="E112" s="44"/>
      <c r="H112">
        <f ca="1">INDIRECT(ADDRESS(65,2+$I$96+($C$98-1)))</f>
        <v>0</v>
      </c>
      <c r="I112" s="41">
        <f ca="1">INDIRECT(ADDRESS(33,2+$G$96+($C$98-1)))</f>
        <v>210</v>
      </c>
      <c r="J112" s="40" t="s">
        <v>35</v>
      </c>
    </row>
    <row r="113" spans="2:10" ht="15.75" x14ac:dyDescent="0.25">
      <c r="B113" s="42">
        <f t="shared" ca="1" si="55"/>
        <v>0</v>
      </c>
      <c r="C113" s="40"/>
      <c r="D113" s="44"/>
      <c r="E113" s="44"/>
      <c r="H113">
        <f ca="1">INDIRECT(ADDRESS(66,2+$I$96+($C$98-1)))</f>
        <v>0</v>
      </c>
      <c r="I113" s="41">
        <f ca="1">INDIRECT(ADDRESS(34,2+$G$96+($C$98-1)))</f>
        <v>263</v>
      </c>
      <c r="J113" s="40" t="s">
        <v>36</v>
      </c>
    </row>
    <row r="114" spans="2:10" ht="15.75" x14ac:dyDescent="0.25">
      <c r="B114" s="42">
        <f t="shared" ca="1" si="55"/>
        <v>0</v>
      </c>
      <c r="C114" s="40"/>
      <c r="D114" s="44"/>
      <c r="E114" s="44"/>
      <c r="H114">
        <f ca="1">INDIRECT(ADDRESS(67,2+$I$96+($C$98-1)))</f>
        <v>0</v>
      </c>
      <c r="I114" s="41">
        <f ca="1">INDIRECT(ADDRESS(35,2+$G$96+($C$98-1)))</f>
        <v>336</v>
      </c>
      <c r="J114" s="40" t="s">
        <v>37</v>
      </c>
    </row>
    <row r="115" spans="2:10" ht="15.75" x14ac:dyDescent="0.25">
      <c r="B115" s="42">
        <f ca="1">IF(B$98=1,H115,I117)</f>
        <v>5.43</v>
      </c>
      <c r="C115" s="40"/>
      <c r="D115" s="44"/>
      <c r="E115" s="44"/>
      <c r="H115">
        <f ca="1">INDIRECT(ADDRESS(68,2+$I$96+($C$98-1)))</f>
        <v>5.43</v>
      </c>
      <c r="I115" s="41">
        <f ca="1">INDIRECT(ADDRESS(36,2+$G$96+($C$98-1)))</f>
        <v>2.1</v>
      </c>
      <c r="J115" s="40" t="s">
        <v>38</v>
      </c>
    </row>
    <row r="116" spans="2:10" ht="15.75" x14ac:dyDescent="0.25">
      <c r="B116" s="42">
        <f t="shared" ca="1" si="55"/>
        <v>1.81</v>
      </c>
      <c r="C116" s="40"/>
      <c r="D116" s="44"/>
      <c r="E116" s="44"/>
      <c r="H116">
        <f ca="1">INDIRECT(ADDRESS(69,2+$I$96+($C$98-1)))</f>
        <v>1.81</v>
      </c>
      <c r="I116" s="41">
        <f ca="1">INDIRECT(ADDRESS(37,2+$G$96+($C$98-1)))</f>
        <v>0.7</v>
      </c>
      <c r="J116" s="40" t="s">
        <v>39</v>
      </c>
    </row>
    <row r="117" spans="2:10" ht="15.75" x14ac:dyDescent="0.25">
      <c r="B117" s="42">
        <f ca="1">IF(B$98=1,H117,I115)</f>
        <v>0</v>
      </c>
      <c r="C117" s="40"/>
      <c r="D117" s="44"/>
      <c r="E117" s="44"/>
      <c r="H117">
        <f ca="1">INDIRECT(ADDRESS(70,2+$I$96+($C$98-1)))</f>
        <v>0</v>
      </c>
      <c r="I117" s="41">
        <f ca="1">INDIRECT(ADDRESS(38,2+$G$96+($C$98-1)))</f>
        <v>0</v>
      </c>
      <c r="J117" s="40" t="s">
        <v>38</v>
      </c>
    </row>
    <row r="118" spans="2:10" ht="15.75" x14ac:dyDescent="0.25">
      <c r="B118" s="146">
        <f t="shared" ca="1" si="55"/>
        <v>1848.51</v>
      </c>
      <c r="C118" s="47" t="s">
        <v>76</v>
      </c>
      <c r="D118" s="44"/>
      <c r="E118" s="44"/>
      <c r="H118">
        <f ca="1">INDIRECT(ADDRESS(72,2+$I$96+($C$98-1)))</f>
        <v>1848.51</v>
      </c>
      <c r="I118" s="41">
        <f ca="1">INDIRECT(ADDRESS(39,2+$G$96+($C$98-1)))</f>
        <v>2799.66</v>
      </c>
    </row>
    <row r="119" spans="2:10" ht="15.75" x14ac:dyDescent="0.25">
      <c r="B119" s="146">
        <f t="shared" ca="1" si="55"/>
        <v>134.56</v>
      </c>
      <c r="C119" s="47" t="s">
        <v>77</v>
      </c>
      <c r="D119" s="45"/>
      <c r="E119" s="45"/>
      <c r="H119">
        <f ca="1">INDIRECT(ADDRESS(73,2+$I$96+($C$98-1)))</f>
        <v>134.56</v>
      </c>
      <c r="I119" s="41">
        <f ca="1">INDIRECT(ADDRESS(40,2+$G$96+($C$98-1)))</f>
        <v>0</v>
      </c>
    </row>
    <row r="120" spans="2:10" ht="15.75" x14ac:dyDescent="0.25">
      <c r="B120" s="146">
        <f t="shared" ca="1" si="55"/>
        <v>77.12</v>
      </c>
      <c r="C120" s="45" t="s">
        <v>88</v>
      </c>
      <c r="D120" s="45"/>
      <c r="E120" s="45"/>
      <c r="H120">
        <f ca="1">INDIRECT(ADDRESS(74,2+$I$96+($C$98-1)))</f>
        <v>77.12</v>
      </c>
      <c r="I120" s="41">
        <f ca="1">INDIRECT(ADDRESS(41,2+$G$96+($C$98-1)))</f>
        <v>77.12</v>
      </c>
      <c r="J120" s="40" t="s">
        <v>43</v>
      </c>
    </row>
    <row r="121" spans="2:10" ht="15.75" x14ac:dyDescent="0.25">
      <c r="B121" s="146">
        <f t="shared" ca="1" si="55"/>
        <v>495</v>
      </c>
      <c r="C121" s="48" t="s">
        <v>144</v>
      </c>
      <c r="D121" s="46"/>
      <c r="E121" s="46"/>
      <c r="H121">
        <f ca="1">INDIRECT(ADDRESS(75,2+$I$96+($C$98-1)))</f>
        <v>495</v>
      </c>
      <c r="I121" s="41">
        <f ca="1">INDIRECT(ADDRESS(42,2+$G$96+($C$98-1)))</f>
        <v>495</v>
      </c>
      <c r="J121" s="40" t="s">
        <v>44</v>
      </c>
    </row>
    <row r="122" spans="2:10" ht="15.75" x14ac:dyDescent="0.25">
      <c r="B122" s="146">
        <f t="shared" ca="1" si="55"/>
        <v>13.27</v>
      </c>
      <c r="C122" s="149" t="s">
        <v>145</v>
      </c>
      <c r="D122" s="43"/>
      <c r="E122" s="43"/>
      <c r="H122">
        <f ca="1">INDIRECT(ADDRESS(76,2+$I$96+($C$98-1)))</f>
        <v>13.27</v>
      </c>
      <c r="I122" s="41">
        <f ca="1">INDIRECT(ADDRESS(43,2+$G$96+($C$98-1)))</f>
        <v>13.27</v>
      </c>
      <c r="J122" s="40" t="s">
        <v>140</v>
      </c>
    </row>
    <row r="123" spans="2:10" ht="15.75" x14ac:dyDescent="0.25">
      <c r="B123" s="146">
        <f t="shared" ca="1" si="55"/>
        <v>5.08</v>
      </c>
      <c r="C123" s="145" t="s">
        <v>146</v>
      </c>
      <c r="D123" s="43"/>
      <c r="E123" s="43"/>
      <c r="H123">
        <f ca="1">INDIRECT(ADDRESS(77,2+$I$96+($C$98-1)))</f>
        <v>5.08</v>
      </c>
      <c r="I123" s="41">
        <f ca="1">INDIRECT(ADDRESS(44,2+$G$96+($C$98-1)))</f>
        <v>5.08</v>
      </c>
      <c r="J123" s="40" t="s">
        <v>141</v>
      </c>
    </row>
    <row r="124" spans="2:10" x14ac:dyDescent="0.25">
      <c r="B124" s="43"/>
      <c r="C124" s="43"/>
      <c r="D124" s="43"/>
      <c r="E124" s="43"/>
    </row>
    <row r="125" spans="2:10" x14ac:dyDescent="0.25">
      <c r="B125" s="147">
        <f ca="1">INDIRECT(ADDRESS(102+$D$125,2))</f>
        <v>174</v>
      </c>
      <c r="C125" s="43" t="s">
        <v>91</v>
      </c>
      <c r="D125" s="50">
        <f>IF($B$98=1,J98,K98)</f>
        <v>5</v>
      </c>
      <c r="E125" s="43"/>
    </row>
    <row r="126" spans="2:10" x14ac:dyDescent="0.25">
      <c r="B126" s="43"/>
      <c r="C126" s="43"/>
      <c r="D126" s="43"/>
      <c r="E126" s="43"/>
    </row>
  </sheetData>
  <sheetProtection selectLockedCell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navrh</vt:lpstr>
      <vt:lpstr>cenik</vt:lpstr>
      <vt:lpstr>navrh!Oblast_tisku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pastyrik</dc:creator>
  <cp:lastModifiedBy>pastyrik jakub</cp:lastModifiedBy>
  <cp:lastPrinted>2013-12-16T08:25:55Z</cp:lastPrinted>
  <dcterms:created xsi:type="dcterms:W3CDTF">2013-06-24T12:03:18Z</dcterms:created>
  <dcterms:modified xsi:type="dcterms:W3CDTF">2019-12-12T12:23:39Z</dcterms:modified>
</cp:coreProperties>
</file>